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810" activeTab="0"/>
  </bookViews>
  <sheets>
    <sheet name="ATI" sheetId="1" r:id="rId1"/>
    <sheet name="Links" sheetId="2" r:id="rId2"/>
  </sheets>
  <definedNames/>
  <calcPr fullCalcOnLoad="1"/>
</workbook>
</file>

<file path=xl/comments1.xml><?xml version="1.0" encoding="utf-8"?>
<comments xmlns="http://schemas.openxmlformats.org/spreadsheetml/2006/main">
  <authors>
    <author>Vic</author>
  </authors>
  <commentList>
    <comment ref="E16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14"/>
            <color indexed="10"/>
            <rFont val="Tahoma"/>
            <family val="2"/>
          </rPr>
          <t>Cash to lenders and MTN's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2"/>
          </rPr>
          <t xml:space="preserve">
</t>
        </r>
      </text>
    </comment>
    <comment ref="I53" authorId="0">
      <text>
        <r>
          <rPr>
            <b/>
            <sz val="12"/>
            <color indexed="10"/>
            <rFont val="Tahoma"/>
            <family val="2"/>
          </rPr>
          <t xml:space="preserve">Closing share price as at May 21, 2013
</t>
        </r>
      </text>
    </comment>
  </commentList>
</comments>
</file>

<file path=xl/sharedStrings.xml><?xml version="1.0" encoding="utf-8"?>
<sst xmlns="http://schemas.openxmlformats.org/spreadsheetml/2006/main" count="122" uniqueCount="104">
  <si>
    <t>2012 - Q1</t>
  </si>
  <si>
    <t>2012 - Q2</t>
  </si>
  <si>
    <t>2012 - Q3</t>
  </si>
  <si>
    <t>2012 - Q4</t>
  </si>
  <si>
    <t>2013 - Q1</t>
  </si>
  <si>
    <t>2013 - Q2</t>
  </si>
  <si>
    <t>2013 - Q3</t>
  </si>
  <si>
    <t>2013 - Q4</t>
  </si>
  <si>
    <t>2014 - Q1</t>
  </si>
  <si>
    <t>2014 - Q2</t>
  </si>
  <si>
    <t>2014 - Q3</t>
  </si>
  <si>
    <t>2014 - Q4</t>
  </si>
  <si>
    <t>A</t>
  </si>
  <si>
    <t>Dividends</t>
  </si>
  <si>
    <t>2011 - Q4</t>
  </si>
  <si>
    <t>Total payouts</t>
  </si>
  <si>
    <t>B</t>
  </si>
  <si>
    <t>C</t>
  </si>
  <si>
    <t>Excess cash for period</t>
  </si>
  <si>
    <t>(A - B)</t>
  </si>
  <si>
    <t>E</t>
  </si>
  <si>
    <t>CASH PAYOUTS</t>
  </si>
  <si>
    <t>(C - D)</t>
  </si>
  <si>
    <t>F</t>
  </si>
  <si>
    <t>Cash flow for period</t>
  </si>
  <si>
    <t>Current</t>
  </si>
  <si>
    <t>EBITDA</t>
  </si>
  <si>
    <t>CAPEX</t>
  </si>
  <si>
    <t>Total revenues</t>
  </si>
  <si>
    <t>Enter the changes in decimals</t>
  </si>
  <si>
    <t xml:space="preserve">EBITDA Total    </t>
  </si>
  <si>
    <t xml:space="preserve">Income Taxes </t>
  </si>
  <si>
    <t>EBITDA  rate</t>
  </si>
  <si>
    <t>Debt remaining</t>
  </si>
  <si>
    <t>Debt change</t>
  </si>
  <si>
    <t>Common shares outstanding:</t>
  </si>
  <si>
    <t>Cash flow from continuing operations (MM's)</t>
  </si>
  <si>
    <t>Free cash flow from cont. ops (MM's)</t>
  </si>
  <si>
    <t>CF per share (qtr)</t>
  </si>
  <si>
    <t>Free CF per share (qtr)</t>
  </si>
  <si>
    <t>Disclaimer:</t>
  </si>
  <si>
    <t>should exercise caution in relying on this information for investment purposes.  Do your own due diligence.</t>
  </si>
  <si>
    <t>Free CF per share (yr)</t>
  </si>
  <si>
    <t>Net Debt / EBITDA</t>
  </si>
  <si>
    <t>P/E ratio (annualized earnings)</t>
  </si>
  <si>
    <t>Accumulated flow (cash on hand)</t>
  </si>
  <si>
    <t>Vanadium revenues</t>
  </si>
  <si>
    <t>Iron Ore revenues</t>
  </si>
  <si>
    <t>Tonnes Vanadium Produced</t>
  </si>
  <si>
    <t>FerroVanadium Price per Kg</t>
  </si>
  <si>
    <t>+55% hermatite Iron Ore Price per metric ton</t>
  </si>
  <si>
    <t>Atlantic Limited</t>
  </si>
  <si>
    <t>http://atlanticltd.com.au/upload/documents/VanadiumInformation/VanadiumMarketOutlook.pdf</t>
  </si>
  <si>
    <t>Vanadium Price Forecast</t>
  </si>
  <si>
    <t>Consolidated Guestimated Interest Expense</t>
  </si>
  <si>
    <t>Share Price Forecast</t>
  </si>
  <si>
    <t>Glen Bradford's Guestimated figures</t>
  </si>
  <si>
    <t>Information has been selectively gleened from the company's website and the internet</t>
  </si>
  <si>
    <t xml:space="preserve">Due to a lack of clairity from Glen's skewed perception of the world, some of the details may be subject to interpretation and as such, one </t>
  </si>
  <si>
    <t>http://atlanticltd.com.au/upload/documents/InvestorRelations/asx/130528StandardandPoorsRatingReview.pdf</t>
  </si>
  <si>
    <t>S&amp;P Debt Upgrade</t>
  </si>
  <si>
    <t>Company gets more debt</t>
  </si>
  <si>
    <t>http://atlanticltd.com.au/upload/documents/InvestorRelations/asx/130712NewShortTermFundingFacility.pdf</t>
  </si>
  <si>
    <t>Largo Maracas Vanadium</t>
  </si>
  <si>
    <t>http://www.largoresources.com/files/LGO%20Corporate%20Presentation%20-%20June%202013.pdf</t>
  </si>
  <si>
    <t>Vanadium Forecast</t>
  </si>
  <si>
    <t>http://www.prnewswire.com/news-releases/vanadium-global-industry-markets-and-outlook-13th-edition-197802181.html</t>
  </si>
  <si>
    <t>http://www.forbes.com/lists/2011/80/indonesia-billionaires-11_Anthoni-Salim_QIPR.html</t>
  </si>
  <si>
    <t>Anthony Salim - Salim Group - Droxford International - Atlantic Ltd</t>
  </si>
  <si>
    <t>Top 10 Shareholders</t>
  </si>
  <si>
    <t>Holder Name</t>
  </si>
  <si>
    <t>Number Held</t>
  </si>
  <si>
    <t>Percentage</t>
  </si>
  <si>
    <t>Droxford International Ltd</t>
  </si>
  <si>
    <t>Citicorp Nominees Pty Ltd</t>
  </si>
  <si>
    <t>Minosora Michael John</t>
  </si>
  <si>
    <t>JP Morgan Nominees Aust Ltd</t>
  </si>
  <si>
    <t>National Nominees Ltd</t>
  </si>
  <si>
    <t>Prosperous Global Assets</t>
  </si>
  <si>
    <t>HSBC Custody Nominees Aust Ltd</t>
  </si>
  <si>
    <t>Atlantic Incentive Plan</t>
  </si>
  <si>
    <t>Trinity Management Pty Ltd</t>
  </si>
  <si>
    <t>Adjusted for Convertible Bonds</t>
  </si>
  <si>
    <t>Shares</t>
  </si>
  <si>
    <t>CEO - Share count from last annual</t>
  </si>
  <si>
    <t>http://atlanticltd.com.au/upload/documents/InvestorRelations/annual/121030AnnualReporttoShareholders.pdf</t>
  </si>
  <si>
    <t>FerroVanadium EBITDA</t>
  </si>
  <si>
    <t>Iron Ore EBITDA</t>
  </si>
  <si>
    <t>NOTES:</t>
  </si>
  <si>
    <t>EBITDA Margins</t>
  </si>
  <si>
    <t>Titanium Kicker</t>
  </si>
  <si>
    <t>Run Rate Sensitivity Analysis</t>
  </si>
  <si>
    <t>http://www.stockhouse.com/companies/bullboard/v.lgo/largo-resources-ltd?postid=21363406</t>
  </si>
  <si>
    <t>NOTE: GUESS'D CONVERT IN THIS PERIOD Q2 2014. Also $100M recovered for equipment lawsuit</t>
  </si>
  <si>
    <t>http://www.motivmetals.com/Documents/Vanadium%20-%20Terry%20Perles%20TTP%20Squared%20Inc%20%20Text%20and%20Slides.pdf</t>
  </si>
  <si>
    <t>Since the majority of the world vanadium is mined by integrated steel companies in China, any</t>
  </si>
  <si>
    <t>slowdown in steel mining in China will automatically imply a slowdown in vanadium mining. As such, since the</t>
  </si>
  <si>
    <t>global demand growth for vanadium is significantly exceeding the one of steel demand, global vanadium prices will</t>
  </si>
  <si>
    <t>actually benefit from a potential slowdown in steel production in China.</t>
  </si>
  <si>
    <t>Note:</t>
  </si>
  <si>
    <t>http://www.largoresources.com/metals/vanadium/default.aspx</t>
  </si>
  <si>
    <t>More Links</t>
  </si>
  <si>
    <t>Normalized Future</t>
  </si>
  <si>
    <t>Revised:   August 15, 2013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</si>
</sst>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&quot;$&quot;#,##0.00"/>
    <numFmt numFmtId="175" formatCode="#,##0.0"/>
    <numFmt numFmtId="176" formatCode="0.0%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0.0;[Red]0.0"/>
    <numFmt numFmtId="181" formatCode="0.0_ ;[Red]\-0.0\ "/>
    <numFmt numFmtId="182" formatCode="0_ ;[Red]\-0\ 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;[Red]\-0.00\ "/>
    <numFmt numFmtId="189" formatCode="&quot;$&quot;#,##0.0"/>
    <numFmt numFmtId="190" formatCode="_-* #,##0.0_-;\-* #,##0.0_-;_-* &quot;-&quot;?_-;_-@_-"/>
    <numFmt numFmtId="191" formatCode="_-&quot;$&quot;* #,##0.0_-;\-&quot;$&quot;* #,##0.0_-;_-&quot;$&quot;* &quot;-&quot;??_-;_-@_-"/>
    <numFmt numFmtId="192" formatCode="_-&quot;$&quot;* #,##0_-;\-&quot;$&quot;* #,##0_-;_-&quot;$&quot;* &quot;-&quot;??_-;_-@_-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24"/>
      <name val="Arial"/>
      <family val="2"/>
    </font>
    <font>
      <sz val="9"/>
      <name val="Tahoma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 Black"/>
      <family val="2"/>
    </font>
    <font>
      <b/>
      <sz val="16"/>
      <name val="Arial"/>
      <family val="2"/>
    </font>
    <font>
      <sz val="9"/>
      <name val="Arial"/>
      <family val="2"/>
    </font>
    <font>
      <b/>
      <sz val="20"/>
      <name val="Arial Black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color indexed="10"/>
      <name val="Tahoma"/>
      <family val="2"/>
    </font>
    <font>
      <b/>
      <sz val="12"/>
      <color indexed="10"/>
      <name val="Arial"/>
      <family val="2"/>
    </font>
    <font>
      <b/>
      <sz val="20"/>
      <color indexed="6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2"/>
      <color indexed="17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rgb="FF4F5359"/>
      <name val="Arial"/>
      <family val="2"/>
    </font>
    <font>
      <sz val="9"/>
      <color rgb="FF4F5359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rgb="FF41525C"/>
      </left>
      <right style="medium">
        <color rgb="FF41525C"/>
      </right>
      <top style="medium">
        <color rgb="FF41525C"/>
      </top>
      <bottom>
        <color indexed="63"/>
      </bottom>
    </border>
    <border>
      <left style="medium">
        <color rgb="FF41525C"/>
      </left>
      <right>
        <color indexed="63"/>
      </right>
      <top style="medium">
        <color rgb="FF41525C"/>
      </top>
      <bottom>
        <color indexed="63"/>
      </bottom>
    </border>
    <border>
      <left>
        <color indexed="63"/>
      </left>
      <right style="medium">
        <color rgb="FF41525C"/>
      </right>
      <top style="medium">
        <color rgb="FF41525C"/>
      </top>
      <bottom>
        <color indexed="63"/>
      </bottom>
    </border>
    <border>
      <left style="medium">
        <color rgb="FF41525C"/>
      </left>
      <right>
        <color indexed="63"/>
      </right>
      <top style="medium">
        <color rgb="FF41525C"/>
      </top>
      <bottom style="medium">
        <color rgb="FF41525C"/>
      </bottom>
    </border>
    <border>
      <left style="medium">
        <color rgb="FF41525C"/>
      </left>
      <right style="medium">
        <color rgb="FF41525C"/>
      </right>
      <top style="medium">
        <color rgb="FF41525C"/>
      </top>
      <bottom style="medium">
        <color rgb="FF41525C"/>
      </bottom>
    </border>
    <border>
      <left>
        <color indexed="63"/>
      </left>
      <right style="medium">
        <color rgb="FF41525C"/>
      </right>
      <top style="medium">
        <color rgb="FF41525C"/>
      </top>
      <bottom style="medium">
        <color rgb="FF41525C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double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3" fontId="0" fillId="0" borderId="0" xfId="0" applyNumberFormat="1" applyFill="1" applyAlignment="1">
      <alignment horizontal="right"/>
    </xf>
    <xf numFmtId="173" fontId="0" fillId="0" borderId="10" xfId="0" applyNumberFormat="1" applyFill="1" applyBorder="1" applyAlignment="1">
      <alignment horizontal="right"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4" borderId="0" xfId="0" applyFont="1" applyFill="1" applyAlignment="1">
      <alignment horizontal="right"/>
    </xf>
    <xf numFmtId="0" fontId="2" fillId="25" borderId="0" xfId="0" applyFont="1" applyFill="1" applyAlignment="1">
      <alignment horizontal="right"/>
    </xf>
    <xf numFmtId="0" fontId="2" fillId="7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11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73" fontId="2" fillId="20" borderId="0" xfId="0" applyNumberFormat="1" applyFont="1" applyFill="1" applyBorder="1" applyAlignment="1">
      <alignment horizontal="right"/>
    </xf>
    <xf numFmtId="173" fontId="2" fillId="20" borderId="11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8" fillId="0" borderId="0" xfId="53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10" fontId="11" fillId="0" borderId="0" xfId="0" applyNumberFormat="1" applyFont="1" applyBorder="1" applyAlignment="1">
      <alignment horizontal="center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24" borderId="0" xfId="0" applyFont="1" applyFill="1" applyAlignment="1">
      <alignment horizontal="center"/>
    </xf>
    <xf numFmtId="181" fontId="2" fillId="0" borderId="11" xfId="0" applyNumberFormat="1" applyFont="1" applyBorder="1" applyAlignment="1">
      <alignment/>
    </xf>
    <xf numFmtId="0" fontId="33" fillId="0" borderId="0" xfId="0" applyFont="1" applyAlignment="1">
      <alignment horizontal="right"/>
    </xf>
    <xf numFmtId="0" fontId="34" fillId="0" borderId="12" xfId="0" applyFont="1" applyBorder="1" applyAlignment="1">
      <alignment horizontal="right"/>
    </xf>
    <xf numFmtId="10" fontId="34" fillId="0" borderId="12" xfId="0" applyNumberFormat="1" applyFont="1" applyBorder="1" applyAlignment="1">
      <alignment horizontal="right"/>
    </xf>
    <xf numFmtId="10" fontId="34" fillId="0" borderId="13" xfId="0" applyNumberFormat="1" applyFont="1" applyBorder="1" applyAlignment="1">
      <alignment horizontal="right"/>
    </xf>
    <xf numFmtId="0" fontId="35" fillId="0" borderId="14" xfId="0" applyFont="1" applyBorder="1" applyAlignment="1">
      <alignment horizontal="left"/>
    </xf>
    <xf numFmtId="0" fontId="35" fillId="0" borderId="12" xfId="0" applyFont="1" applyBorder="1" applyAlignment="1">
      <alignment horizontal="right"/>
    </xf>
    <xf numFmtId="10" fontId="35" fillId="0" borderId="12" xfId="0" applyNumberFormat="1" applyFont="1" applyBorder="1" applyAlignment="1">
      <alignment horizontal="right"/>
    </xf>
    <xf numFmtId="10" fontId="35" fillId="0" borderId="13" xfId="0" applyNumberFormat="1" applyFont="1" applyBorder="1" applyAlignment="1">
      <alignment horizontal="right"/>
    </xf>
    <xf numFmtId="173" fontId="2" fillId="24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176" fontId="0" fillId="0" borderId="0" xfId="0" applyNumberForma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0" fillId="0" borderId="0" xfId="0" applyNumberFormat="1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2" fillId="24" borderId="15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10" fontId="35" fillId="0" borderId="16" xfId="0" applyNumberFormat="1" applyFont="1" applyBorder="1" applyAlignment="1">
      <alignment horizontal="right"/>
    </xf>
    <xf numFmtId="10" fontId="34" fillId="0" borderId="16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/>
    </xf>
    <xf numFmtId="173" fontId="2" fillId="20" borderId="17" xfId="0" applyNumberFormat="1" applyFont="1" applyFill="1" applyBorder="1" applyAlignment="1">
      <alignment horizontal="right"/>
    </xf>
    <xf numFmtId="173" fontId="2" fillId="20" borderId="18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1" fontId="2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6" fillId="25" borderId="19" xfId="0" applyFont="1" applyFill="1" applyBorder="1" applyAlignment="1">
      <alignment/>
    </xf>
    <xf numFmtId="182" fontId="36" fillId="25" borderId="20" xfId="0" applyNumberFormat="1" applyFont="1" applyFill="1" applyBorder="1" applyAlignment="1">
      <alignment/>
    </xf>
    <xf numFmtId="182" fontId="36" fillId="25" borderId="21" xfId="0" applyNumberFormat="1" applyFont="1" applyFill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24" borderId="0" xfId="0" applyFont="1" applyFill="1" applyBorder="1" applyAlignment="1">
      <alignment horizontal="right"/>
    </xf>
    <xf numFmtId="176" fontId="2" fillId="25" borderId="0" xfId="0" applyNumberFormat="1" applyFont="1" applyFill="1" applyBorder="1" applyAlignment="1">
      <alignment horizontal="right"/>
    </xf>
    <xf numFmtId="176" fontId="2" fillId="24" borderId="0" xfId="0" applyNumberFormat="1" applyFont="1" applyFill="1" applyBorder="1" applyAlignment="1">
      <alignment horizontal="right"/>
    </xf>
    <xf numFmtId="181" fontId="2" fillId="24" borderId="11" xfId="0" applyNumberFormat="1" applyFont="1" applyFill="1" applyBorder="1" applyAlignment="1">
      <alignment/>
    </xf>
    <xf numFmtId="173" fontId="2" fillId="25" borderId="11" xfId="0" applyNumberFormat="1" applyFont="1" applyFill="1" applyBorder="1" applyAlignment="1">
      <alignment horizontal="right"/>
    </xf>
    <xf numFmtId="181" fontId="2" fillId="25" borderId="11" xfId="0" applyNumberFormat="1" applyFont="1" applyFill="1" applyBorder="1" applyAlignment="1">
      <alignment/>
    </xf>
    <xf numFmtId="176" fontId="2" fillId="7" borderId="0" xfId="0" applyNumberFormat="1" applyFont="1" applyFill="1" applyBorder="1" applyAlignment="1">
      <alignment horizontal="right"/>
    </xf>
    <xf numFmtId="173" fontId="2" fillId="7" borderId="11" xfId="0" applyNumberFormat="1" applyFont="1" applyFill="1" applyBorder="1" applyAlignment="1">
      <alignment horizontal="right"/>
    </xf>
    <xf numFmtId="181" fontId="2" fillId="7" borderId="11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6" fillId="8" borderId="0" xfId="0" applyFont="1" applyFill="1" applyAlignment="1">
      <alignment horizontal="center"/>
    </xf>
    <xf numFmtId="176" fontId="2" fillId="8" borderId="0" xfId="0" applyNumberFormat="1" applyFont="1" applyFill="1" applyBorder="1" applyAlignment="1">
      <alignment horizontal="right"/>
    </xf>
    <xf numFmtId="173" fontId="2" fillId="8" borderId="11" xfId="0" applyNumberFormat="1" applyFont="1" applyFill="1" applyBorder="1" applyAlignment="1">
      <alignment horizontal="right"/>
    </xf>
    <xf numFmtId="181" fontId="2" fillId="8" borderId="11" xfId="0" applyNumberFormat="1" applyFont="1" applyFill="1" applyBorder="1" applyAlignment="1">
      <alignment/>
    </xf>
    <xf numFmtId="0" fontId="36" fillId="24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174" fontId="3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36" fillId="26" borderId="17" xfId="0" applyFont="1" applyFill="1" applyBorder="1" applyAlignment="1">
      <alignment horizontal="center"/>
    </xf>
    <xf numFmtId="0" fontId="0" fillId="26" borderId="17" xfId="0" applyFill="1" applyBorder="1" applyAlignment="1">
      <alignment horizontal="right"/>
    </xf>
    <xf numFmtId="173" fontId="0" fillId="26" borderId="17" xfId="0" applyNumberFormat="1" applyFill="1" applyBorder="1" applyAlignment="1">
      <alignment horizontal="right"/>
    </xf>
    <xf numFmtId="176" fontId="0" fillId="26" borderId="17" xfId="0" applyNumberFormat="1" applyFill="1" applyBorder="1" applyAlignment="1">
      <alignment horizontal="right"/>
    </xf>
    <xf numFmtId="173" fontId="2" fillId="26" borderId="17" xfId="0" applyNumberFormat="1" applyFont="1" applyFill="1" applyBorder="1" applyAlignment="1">
      <alignment horizontal="right"/>
    </xf>
    <xf numFmtId="173" fontId="0" fillId="26" borderId="22" xfId="0" applyNumberFormat="1" applyFill="1" applyBorder="1" applyAlignment="1">
      <alignment horizontal="right"/>
    </xf>
    <xf numFmtId="173" fontId="0" fillId="26" borderId="17" xfId="0" applyNumberFormat="1" applyFill="1" applyBorder="1" applyAlignment="1">
      <alignment/>
    </xf>
    <xf numFmtId="181" fontId="2" fillId="26" borderId="17" xfId="0" applyNumberFormat="1" applyFont="1" applyFill="1" applyBorder="1" applyAlignment="1">
      <alignment/>
    </xf>
    <xf numFmtId="182" fontId="36" fillId="25" borderId="23" xfId="0" applyNumberFormat="1" applyFont="1" applyFill="1" applyBorder="1" applyAlignment="1">
      <alignment/>
    </xf>
    <xf numFmtId="182" fontId="36" fillId="25" borderId="24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26" borderId="0" xfId="0" applyFont="1" applyFill="1" applyBorder="1" applyAlignment="1">
      <alignment/>
    </xf>
    <xf numFmtId="189" fontId="7" fillId="26" borderId="0" xfId="0" applyNumberFormat="1" applyFont="1" applyFill="1" applyBorder="1" applyAlignment="1">
      <alignment/>
    </xf>
    <xf numFmtId="174" fontId="7" fillId="26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" fillId="8" borderId="0" xfId="0" applyFont="1" applyFill="1" applyAlignment="1">
      <alignment horizontal="center"/>
    </xf>
    <xf numFmtId="0" fontId="2" fillId="24" borderId="25" xfId="0" applyFont="1" applyFill="1" applyBorder="1" applyAlignment="1">
      <alignment horizontal="right"/>
    </xf>
    <xf numFmtId="173" fontId="2" fillId="20" borderId="25" xfId="0" applyNumberFormat="1" applyFont="1" applyFill="1" applyBorder="1" applyAlignment="1">
      <alignment horizontal="right"/>
    </xf>
    <xf numFmtId="173" fontId="2" fillId="20" borderId="26" xfId="0" applyNumberFormat="1" applyFont="1" applyFill="1" applyBorder="1" applyAlignment="1">
      <alignment horizontal="right"/>
    </xf>
    <xf numFmtId="176" fontId="2" fillId="24" borderId="25" xfId="0" applyNumberFormat="1" applyFont="1" applyFill="1" applyBorder="1" applyAlignment="1">
      <alignment horizontal="right"/>
    </xf>
    <xf numFmtId="173" fontId="2" fillId="24" borderId="26" xfId="0" applyNumberFormat="1" applyFont="1" applyFill="1" applyBorder="1" applyAlignment="1">
      <alignment horizontal="right"/>
    </xf>
    <xf numFmtId="181" fontId="2" fillId="24" borderId="26" xfId="0" applyNumberFormat="1" applyFont="1" applyFill="1" applyBorder="1" applyAlignment="1">
      <alignment/>
    </xf>
    <xf numFmtId="181" fontId="2" fillId="0" borderId="25" xfId="0" applyNumberFormat="1" applyFont="1" applyFill="1" applyBorder="1" applyAlignment="1">
      <alignment/>
    </xf>
    <xf numFmtId="182" fontId="36" fillId="25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36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right"/>
    </xf>
    <xf numFmtId="173" fontId="0" fillId="0" borderId="25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173" fontId="2" fillId="0" borderId="25" xfId="0" applyNumberFormat="1" applyFont="1" applyFill="1" applyBorder="1" applyAlignment="1">
      <alignment horizontal="right"/>
    </xf>
    <xf numFmtId="173" fontId="0" fillId="0" borderId="29" xfId="0" applyNumberFormat="1" applyFill="1" applyBorder="1" applyAlignment="1">
      <alignment horizontal="right"/>
    </xf>
    <xf numFmtId="173" fontId="0" fillId="0" borderId="25" xfId="0" applyNumberFormat="1" applyFill="1" applyBorder="1" applyAlignment="1">
      <alignment/>
    </xf>
    <xf numFmtId="0" fontId="2" fillId="25" borderId="17" xfId="0" applyFont="1" applyFill="1" applyBorder="1" applyAlignment="1">
      <alignment horizontal="right"/>
    </xf>
    <xf numFmtId="176" fontId="2" fillId="25" borderId="17" xfId="0" applyNumberFormat="1" applyFont="1" applyFill="1" applyBorder="1" applyAlignment="1">
      <alignment horizontal="right"/>
    </xf>
    <xf numFmtId="173" fontId="2" fillId="25" borderId="18" xfId="0" applyNumberFormat="1" applyFont="1" applyFill="1" applyBorder="1" applyAlignment="1">
      <alignment horizontal="right"/>
    </xf>
    <xf numFmtId="181" fontId="2" fillId="25" borderId="18" xfId="0" applyNumberFormat="1" applyFont="1" applyFill="1" applyBorder="1" applyAlignment="1">
      <alignment/>
    </xf>
    <xf numFmtId="0" fontId="0" fillId="26" borderId="17" xfId="0" applyFill="1" applyBorder="1" applyAlignment="1">
      <alignment/>
    </xf>
    <xf numFmtId="173" fontId="36" fillId="0" borderId="0" xfId="0" applyNumberFormat="1" applyFont="1" applyBorder="1" applyAlignment="1">
      <alignment horizontal="right"/>
    </xf>
    <xf numFmtId="173" fontId="36" fillId="0" borderId="0" xfId="0" applyNumberFormat="1" applyFont="1" applyAlignment="1">
      <alignment horizontal="right"/>
    </xf>
    <xf numFmtId="2" fontId="44" fillId="0" borderId="0" xfId="0" applyNumberFormat="1" applyFont="1" applyAlignment="1">
      <alignment horizontal="center"/>
    </xf>
    <xf numFmtId="190" fontId="36" fillId="0" borderId="0" xfId="42" applyNumberFormat="1" applyFont="1" applyFill="1" applyBorder="1" applyAlignment="1">
      <alignment horizontal="right"/>
    </xf>
    <xf numFmtId="190" fontId="36" fillId="0" borderId="0" xfId="42" applyNumberFormat="1" applyFont="1" applyAlignment="1">
      <alignment horizontal="right"/>
    </xf>
    <xf numFmtId="192" fontId="35" fillId="0" borderId="12" xfId="44" applyNumberFormat="1" applyFont="1" applyBorder="1" applyAlignment="1">
      <alignment horizontal="right"/>
    </xf>
    <xf numFmtId="0" fontId="34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49" fillId="27" borderId="30" xfId="0" applyFont="1" applyFill="1" applyBorder="1" applyAlignment="1">
      <alignment vertical="center" wrapText="1"/>
    </xf>
    <xf numFmtId="3" fontId="50" fillId="28" borderId="30" xfId="0" applyNumberFormat="1" applyFont="1" applyFill="1" applyBorder="1" applyAlignment="1">
      <alignment horizontal="right" vertical="center" wrapText="1"/>
    </xf>
    <xf numFmtId="0" fontId="49" fillId="27" borderId="31" xfId="0" applyFont="1" applyFill="1" applyBorder="1" applyAlignment="1">
      <alignment vertical="center" wrapText="1"/>
    </xf>
    <xf numFmtId="0" fontId="49" fillId="27" borderId="32" xfId="0" applyFont="1" applyFill="1" applyBorder="1" applyAlignment="1">
      <alignment horizontal="right" vertical="center" wrapText="1"/>
    </xf>
    <xf numFmtId="0" fontId="50" fillId="28" borderId="31" xfId="0" applyFont="1" applyFill="1" applyBorder="1" applyAlignment="1">
      <alignment vertical="center" wrapText="1"/>
    </xf>
    <xf numFmtId="10" fontId="50" fillId="28" borderId="32" xfId="0" applyNumberFormat="1" applyFont="1" applyFill="1" applyBorder="1" applyAlignment="1">
      <alignment horizontal="right" vertical="center" wrapText="1"/>
    </xf>
    <xf numFmtId="0" fontId="50" fillId="28" borderId="33" xfId="0" applyFont="1" applyFill="1" applyBorder="1" applyAlignment="1">
      <alignment vertical="center" wrapText="1"/>
    </xf>
    <xf numFmtId="3" fontId="50" fillId="28" borderId="34" xfId="0" applyNumberFormat="1" applyFont="1" applyFill="1" applyBorder="1" applyAlignment="1">
      <alignment horizontal="right" vertical="center" wrapText="1"/>
    </xf>
    <xf numFmtId="10" fontId="50" fillId="28" borderId="35" xfId="0" applyNumberFormat="1" applyFont="1" applyFill="1" applyBorder="1" applyAlignment="1">
      <alignment horizontal="right" vertical="center" wrapText="1"/>
    </xf>
    <xf numFmtId="0" fontId="0" fillId="29" borderId="0" xfId="0" applyFill="1" applyAlignment="1">
      <alignment/>
    </xf>
    <xf numFmtId="0" fontId="36" fillId="24" borderId="36" xfId="0" applyFont="1" applyFill="1" applyBorder="1" applyAlignment="1">
      <alignment/>
    </xf>
    <xf numFmtId="192" fontId="2" fillId="24" borderId="0" xfId="0" applyNumberFormat="1" applyFont="1" applyFill="1" applyAlignment="1">
      <alignment horizontal="center"/>
    </xf>
    <xf numFmtId="0" fontId="7" fillId="26" borderId="37" xfId="0" applyFont="1" applyFill="1" applyBorder="1" applyAlignment="1">
      <alignment/>
    </xf>
    <xf numFmtId="0" fontId="7" fillId="26" borderId="38" xfId="0" applyFont="1" applyFill="1" applyBorder="1" applyAlignment="1">
      <alignment/>
    </xf>
    <xf numFmtId="0" fontId="7" fillId="26" borderId="28" xfId="0" applyFont="1" applyFill="1" applyBorder="1" applyAlignment="1">
      <alignment/>
    </xf>
    <xf numFmtId="0" fontId="7" fillId="26" borderId="39" xfId="0" applyFont="1" applyFill="1" applyBorder="1" applyAlignment="1">
      <alignment/>
    </xf>
    <xf numFmtId="189" fontId="7" fillId="26" borderId="25" xfId="0" applyNumberFormat="1" applyFont="1" applyFill="1" applyBorder="1" applyAlignment="1">
      <alignment/>
    </xf>
    <xf numFmtId="0" fontId="7" fillId="26" borderId="25" xfId="0" applyFont="1" applyFill="1" applyBorder="1" applyAlignment="1">
      <alignment/>
    </xf>
    <xf numFmtId="174" fontId="7" fillId="26" borderId="25" xfId="0" applyNumberFormat="1" applyFont="1" applyFill="1" applyBorder="1" applyAlignment="1">
      <alignment/>
    </xf>
    <xf numFmtId="0" fontId="7" fillId="26" borderId="40" xfId="0" applyFont="1" applyFill="1" applyBorder="1" applyAlignment="1">
      <alignment/>
    </xf>
    <xf numFmtId="0" fontId="7" fillId="26" borderId="36" xfId="0" applyFont="1" applyFill="1" applyBorder="1" applyAlignment="1">
      <alignment/>
    </xf>
    <xf numFmtId="174" fontId="7" fillId="26" borderId="36" xfId="0" applyNumberFormat="1" applyFont="1" applyFill="1" applyBorder="1" applyAlignment="1">
      <alignment/>
    </xf>
    <xf numFmtId="174" fontId="7" fillId="26" borderId="41" xfId="0" applyNumberFormat="1" applyFont="1" applyFill="1" applyBorder="1" applyAlignment="1">
      <alignment/>
    </xf>
    <xf numFmtId="0" fontId="51" fillId="28" borderId="0" xfId="0" applyFont="1" applyFill="1" applyBorder="1" applyAlignment="1">
      <alignment horizontal="right" vertical="center" wrapText="1"/>
    </xf>
    <xf numFmtId="0" fontId="0" fillId="0" borderId="42" xfId="0" applyBorder="1" applyAlignment="1">
      <alignment/>
    </xf>
    <xf numFmtId="0" fontId="36" fillId="24" borderId="43" xfId="0" applyFont="1" applyFill="1" applyBorder="1" applyAlignment="1">
      <alignment/>
    </xf>
    <xf numFmtId="192" fontId="35" fillId="0" borderId="44" xfId="44" applyNumberFormat="1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24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right"/>
    </xf>
    <xf numFmtId="173" fontId="0" fillId="0" borderId="42" xfId="0" applyNumberFormat="1" applyFill="1" applyBorder="1" applyAlignment="1">
      <alignment horizontal="right"/>
    </xf>
    <xf numFmtId="176" fontId="0" fillId="0" borderId="42" xfId="0" applyNumberFormat="1" applyFill="1" applyBorder="1" applyAlignment="1">
      <alignment horizontal="right"/>
    </xf>
    <xf numFmtId="173" fontId="2" fillId="20" borderId="42" xfId="0" applyNumberFormat="1" applyFont="1" applyFill="1" applyBorder="1" applyAlignment="1">
      <alignment horizontal="right"/>
    </xf>
    <xf numFmtId="173" fontId="2" fillId="0" borderId="42" xfId="0" applyNumberFormat="1" applyFont="1" applyFill="1" applyBorder="1" applyAlignment="1">
      <alignment horizontal="right"/>
    </xf>
    <xf numFmtId="173" fontId="2" fillId="20" borderId="45" xfId="0" applyNumberFormat="1" applyFont="1" applyFill="1" applyBorder="1" applyAlignment="1">
      <alignment horizontal="right"/>
    </xf>
    <xf numFmtId="176" fontId="2" fillId="24" borderId="42" xfId="0" applyNumberFormat="1" applyFont="1" applyFill="1" applyBorder="1" applyAlignment="1">
      <alignment horizontal="right"/>
    </xf>
    <xf numFmtId="173" fontId="0" fillId="0" borderId="46" xfId="0" applyNumberFormat="1" applyFill="1" applyBorder="1" applyAlignment="1">
      <alignment horizontal="right"/>
    </xf>
    <xf numFmtId="173" fontId="2" fillId="24" borderId="45" xfId="0" applyNumberFormat="1" applyFont="1" applyFill="1" applyBorder="1" applyAlignment="1">
      <alignment horizontal="right"/>
    </xf>
    <xf numFmtId="173" fontId="0" fillId="0" borderId="42" xfId="0" applyNumberFormat="1" applyBorder="1" applyAlignment="1">
      <alignment/>
    </xf>
    <xf numFmtId="181" fontId="2" fillId="24" borderId="45" xfId="0" applyNumberFormat="1" applyFont="1" applyFill="1" applyBorder="1" applyAlignment="1">
      <alignment/>
    </xf>
    <xf numFmtId="181" fontId="2" fillId="0" borderId="42" xfId="0" applyNumberFormat="1" applyFont="1" applyFill="1" applyBorder="1" applyAlignment="1">
      <alignment/>
    </xf>
    <xf numFmtId="182" fontId="36" fillId="25" borderId="47" xfId="0" applyNumberFormat="1" applyFont="1" applyFill="1" applyBorder="1" applyAlignment="1">
      <alignment/>
    </xf>
    <xf numFmtId="173" fontId="36" fillId="0" borderId="42" xfId="0" applyNumberFormat="1" applyFont="1" applyBorder="1" applyAlignment="1">
      <alignment horizontal="right"/>
    </xf>
    <xf numFmtId="0" fontId="36" fillId="0" borderId="42" xfId="0" applyFont="1" applyBorder="1" applyAlignment="1">
      <alignment/>
    </xf>
    <xf numFmtId="0" fontId="41" fillId="0" borderId="42" xfId="0" applyFont="1" applyBorder="1" applyAlignment="1">
      <alignment/>
    </xf>
    <xf numFmtId="174" fontId="36" fillId="0" borderId="42" xfId="0" applyNumberFormat="1" applyFont="1" applyBorder="1" applyAlignment="1">
      <alignment/>
    </xf>
    <xf numFmtId="0" fontId="36" fillId="0" borderId="42" xfId="0" applyFont="1" applyBorder="1" applyAlignment="1">
      <alignment/>
    </xf>
    <xf numFmtId="0" fontId="7" fillId="26" borderId="48" xfId="0" applyFont="1" applyFill="1" applyBorder="1" applyAlignment="1">
      <alignment/>
    </xf>
    <xf numFmtId="189" fontId="7" fillId="26" borderId="42" xfId="0" applyNumberFormat="1" applyFont="1" applyFill="1" applyBorder="1" applyAlignment="1">
      <alignment/>
    </xf>
    <xf numFmtId="0" fontId="7" fillId="26" borderId="42" xfId="0" applyFont="1" applyFill="1" applyBorder="1" applyAlignment="1">
      <alignment/>
    </xf>
    <xf numFmtId="174" fontId="7" fillId="26" borderId="42" xfId="0" applyNumberFormat="1" applyFont="1" applyFill="1" applyBorder="1" applyAlignment="1">
      <alignment/>
    </xf>
    <xf numFmtId="174" fontId="7" fillId="26" borderId="43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40" fillId="24" borderId="14" xfId="0" applyFont="1" applyFill="1" applyBorder="1" applyAlignment="1">
      <alignment horizontal="center" wrapText="1"/>
    </xf>
    <xf numFmtId="0" fontId="40" fillId="24" borderId="12" xfId="0" applyFont="1" applyFill="1" applyBorder="1" applyAlignment="1">
      <alignment horizontal="center" wrapText="1"/>
    </xf>
    <xf numFmtId="0" fontId="40" fillId="24" borderId="13" xfId="0" applyFont="1" applyFill="1" applyBorder="1" applyAlignment="1">
      <alignment horizontal="center" wrapText="1"/>
    </xf>
    <xf numFmtId="0" fontId="52" fillId="0" borderId="0" xfId="0" applyFont="1" applyAlignment="1">
      <alignment horizontal="left" vertical="top" wrapText="1"/>
    </xf>
    <xf numFmtId="0" fontId="49" fillId="27" borderId="33" xfId="0" applyFont="1" applyFill="1" applyBorder="1" applyAlignment="1">
      <alignment horizontal="center" vertical="center" wrapText="1"/>
    </xf>
    <xf numFmtId="0" fontId="49" fillId="27" borderId="3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tlanticltd.com.au/upload/documents/VanadiumInformation/VanadiumMarketOutlook.pdf" TargetMode="External" /><Relationship Id="rId2" Type="http://schemas.openxmlformats.org/officeDocument/2006/relationships/hyperlink" Target="http://atlanticltd.com.au/upload/documents/InvestorRelations/asx/130528StandardandPoorsRatingReview.pdf" TargetMode="External" /><Relationship Id="rId3" Type="http://schemas.openxmlformats.org/officeDocument/2006/relationships/hyperlink" Target="http://atlanticltd.com.au/upload/documents/InvestorRelations/asx/130712NewShortTermFundingFacility.pdf" TargetMode="External" /><Relationship Id="rId4" Type="http://schemas.openxmlformats.org/officeDocument/2006/relationships/hyperlink" Target="http://www.largoresources.com/files/LGO%20Corporate%20Presentation%20-%20June%202013.pdf" TargetMode="External" /><Relationship Id="rId5" Type="http://schemas.openxmlformats.org/officeDocument/2006/relationships/hyperlink" Target="http://www.prnewswire.com/news-releases/vanadium-global-industry-markets-and-outlook-13th-edition-197802181.html" TargetMode="External" /><Relationship Id="rId6" Type="http://schemas.openxmlformats.org/officeDocument/2006/relationships/hyperlink" Target="http://www.forbes.com/lists/2011/80/indonesia-billionaires-11_Anthoni-Salim_QIPR.html" TargetMode="External" /><Relationship Id="rId7" Type="http://schemas.openxmlformats.org/officeDocument/2006/relationships/hyperlink" Target="http://atlanticltd.com.au/upload/documents/InvestorRelations/annual/121030AnnualReporttoShareholders.pdf" TargetMode="External" /><Relationship Id="rId8" Type="http://schemas.openxmlformats.org/officeDocument/2006/relationships/hyperlink" Target="http://atlanticltd.com.au/upload/documents/VanadiumInformation/VanadiumMarketOutlook.pdf" TargetMode="External" /><Relationship Id="rId9" Type="http://schemas.openxmlformats.org/officeDocument/2006/relationships/hyperlink" Target="http://www.stockhouse.com/companies/bullboard/v.lgo/largo-resources-ltd?postid=21363406" TargetMode="External" /><Relationship Id="rId10" Type="http://schemas.openxmlformats.org/officeDocument/2006/relationships/hyperlink" Target="http://www.motivmetals.com/Documents/Vanadium%20-%20Terry%20Perles%20TTP%20Squared%20Inc%20%20Text%20and%20Slides.pdf" TargetMode="External" /><Relationship Id="rId11" Type="http://schemas.openxmlformats.org/officeDocument/2006/relationships/hyperlink" Target="http://www.largoresources.com/metals/vanadium/default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zoomScalePageLayoutView="0" workbookViewId="0" topLeftCell="A1">
      <selection activeCell="Q56" sqref="Q56"/>
    </sheetView>
  </sheetViews>
  <sheetFormatPr defaultColWidth="9.140625" defaultRowHeight="12.75"/>
  <cols>
    <col min="1" max="1" width="4.57421875" style="4" customWidth="1"/>
    <col min="2" max="2" width="23.421875" style="0" customWidth="1"/>
    <col min="3" max="3" width="35.57421875" style="0" customWidth="1"/>
    <col min="4" max="4" width="0" style="0" hidden="1" customWidth="1"/>
    <col min="5" max="5" width="10.8515625" style="0" hidden="1" customWidth="1"/>
    <col min="6" max="8" width="9.7109375" style="0" hidden="1" customWidth="1"/>
    <col min="9" max="9" width="9.7109375" style="0" customWidth="1"/>
    <col min="10" max="10" width="11.7109375" style="0" customWidth="1"/>
    <col min="11" max="16" width="9.7109375" style="0" customWidth="1"/>
    <col min="17" max="27" width="11.28125" style="0" customWidth="1"/>
  </cols>
  <sheetData>
    <row r="1" spans="2:23" ht="32.25" thickBot="1">
      <c r="B1" s="42" t="s">
        <v>103</v>
      </c>
      <c r="G1" s="35"/>
      <c r="H1" s="24"/>
      <c r="I1" s="23"/>
      <c r="J1" s="164"/>
      <c r="K1" s="24" t="s">
        <v>51</v>
      </c>
      <c r="L1" s="23"/>
      <c r="M1" s="164"/>
      <c r="T1" s="30"/>
      <c r="W1" s="30"/>
    </row>
    <row r="2" spans="1:24" s="35" customFormat="1" ht="36" customHeight="1" thickBot="1" thickTop="1">
      <c r="A2" s="17"/>
      <c r="B2" s="34"/>
      <c r="C2" s="209" t="s">
        <v>56</v>
      </c>
      <c r="D2" s="210"/>
      <c r="E2" s="210"/>
      <c r="F2" s="210"/>
      <c r="G2" s="210"/>
      <c r="H2" s="210"/>
      <c r="I2" s="210"/>
      <c r="J2" s="210"/>
      <c r="K2" s="210"/>
      <c r="L2" s="210"/>
      <c r="M2" s="211"/>
      <c r="T2" s="30"/>
      <c r="U2" s="30"/>
      <c r="X2" s="208" t="s">
        <v>102</v>
      </c>
    </row>
    <row r="3" spans="2:24" ht="20.25">
      <c r="B3" s="43" t="s">
        <v>29</v>
      </c>
      <c r="C3" s="32"/>
      <c r="D3" s="71"/>
      <c r="E3" s="37"/>
      <c r="F3" s="33"/>
      <c r="T3" s="30"/>
      <c r="U3" s="30"/>
      <c r="X3" s="179"/>
    </row>
    <row r="4" spans="1:27" s="10" customFormat="1" ht="16.5" thickBot="1">
      <c r="A4" s="9"/>
      <c r="C4" s="55"/>
      <c r="D4" s="67" t="s">
        <v>14</v>
      </c>
      <c r="E4" s="66" t="s">
        <v>0</v>
      </c>
      <c r="F4" s="11" t="s">
        <v>1</v>
      </c>
      <c r="G4" s="11" t="s">
        <v>2</v>
      </c>
      <c r="H4" s="11" t="s">
        <v>3</v>
      </c>
      <c r="I4" s="12" t="s">
        <v>4</v>
      </c>
      <c r="J4" s="12" t="s">
        <v>5</v>
      </c>
      <c r="K4" s="12" t="s">
        <v>6</v>
      </c>
      <c r="L4" s="12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98">
        <v>2015</v>
      </c>
      <c r="R4" s="102">
        <v>2016</v>
      </c>
      <c r="S4" s="98">
        <v>2017</v>
      </c>
      <c r="T4" s="165" t="s">
        <v>91</v>
      </c>
      <c r="U4" s="165" t="s">
        <v>91</v>
      </c>
      <c r="V4" s="165"/>
      <c r="W4" s="165"/>
      <c r="X4" s="180"/>
      <c r="Y4" s="165"/>
      <c r="Z4" s="165"/>
      <c r="AA4" s="165"/>
    </row>
    <row r="5" spans="2:27" s="46" customFormat="1" ht="17.25" thickBot="1">
      <c r="B5" s="50" t="s">
        <v>49</v>
      </c>
      <c r="C5" s="51"/>
      <c r="D5" s="51"/>
      <c r="E5" s="52"/>
      <c r="F5" s="52"/>
      <c r="G5" s="52"/>
      <c r="H5" s="53"/>
      <c r="I5" s="69"/>
      <c r="J5" s="152">
        <v>30</v>
      </c>
      <c r="K5" s="152">
        <v>30</v>
      </c>
      <c r="L5" s="152">
        <v>30</v>
      </c>
      <c r="M5" s="152">
        <v>25</v>
      </c>
      <c r="N5" s="152">
        <v>30</v>
      </c>
      <c r="O5" s="152">
        <v>30</v>
      </c>
      <c r="P5" s="152">
        <v>30</v>
      </c>
      <c r="Q5" s="152">
        <v>30</v>
      </c>
      <c r="R5" s="152">
        <v>30</v>
      </c>
      <c r="S5" s="152">
        <v>30</v>
      </c>
      <c r="T5" s="152">
        <v>20</v>
      </c>
      <c r="U5" s="152">
        <v>25</v>
      </c>
      <c r="V5" s="152">
        <v>30</v>
      </c>
      <c r="W5" s="152">
        <v>35</v>
      </c>
      <c r="X5" s="181">
        <v>40</v>
      </c>
      <c r="Y5" s="152">
        <v>45</v>
      </c>
      <c r="Z5" s="152">
        <v>50</v>
      </c>
      <c r="AA5" s="152">
        <v>55</v>
      </c>
    </row>
    <row r="6" spans="2:27" s="46" customFormat="1" ht="17.25" thickBot="1">
      <c r="B6" s="153" t="s">
        <v>50</v>
      </c>
      <c r="C6" s="47"/>
      <c r="D6" s="47"/>
      <c r="E6" s="52"/>
      <c r="F6" s="48"/>
      <c r="G6" s="48"/>
      <c r="H6" s="49"/>
      <c r="I6" s="70"/>
      <c r="J6" s="152">
        <v>105</v>
      </c>
      <c r="K6" s="152">
        <v>105</v>
      </c>
      <c r="L6" s="152">
        <v>105</v>
      </c>
      <c r="M6" s="152">
        <v>105</v>
      </c>
      <c r="N6" s="152">
        <v>105</v>
      </c>
      <c r="O6" s="152">
        <v>105</v>
      </c>
      <c r="P6" s="152">
        <v>105</v>
      </c>
      <c r="Q6" s="152">
        <v>105</v>
      </c>
      <c r="R6" s="152">
        <v>105</v>
      </c>
      <c r="S6" s="152">
        <v>105</v>
      </c>
      <c r="T6" s="152">
        <v>75</v>
      </c>
      <c r="U6" s="152">
        <v>95</v>
      </c>
      <c r="V6" s="152">
        <v>100</v>
      </c>
      <c r="W6" s="152">
        <v>105</v>
      </c>
      <c r="X6" s="181">
        <v>115</v>
      </c>
      <c r="Y6" s="152">
        <v>115</v>
      </c>
      <c r="Z6" s="152">
        <v>115</v>
      </c>
      <c r="AA6" s="152">
        <v>115</v>
      </c>
    </row>
    <row r="7" spans="2:27" ht="20.25">
      <c r="B7" s="31" t="s">
        <v>48</v>
      </c>
      <c r="C7" s="32"/>
      <c r="D7" s="32"/>
      <c r="E7" s="37"/>
      <c r="F7" s="87"/>
      <c r="G7" s="108"/>
      <c r="H7" s="134"/>
      <c r="I7" s="146"/>
      <c r="J7">
        <f>6700/4*0.25</f>
        <v>418.75</v>
      </c>
      <c r="K7">
        <f>6700/4*0.5</f>
        <v>837.5</v>
      </c>
      <c r="L7">
        <f>6700/4*0.75</f>
        <v>1256.25</v>
      </c>
      <c r="M7">
        <f>6700/4</f>
        <v>1675</v>
      </c>
      <c r="N7">
        <f>6700/4</f>
        <v>1675</v>
      </c>
      <c r="O7">
        <f>6700/4</f>
        <v>1675</v>
      </c>
      <c r="P7">
        <f>6700/4</f>
        <v>1675</v>
      </c>
      <c r="Q7">
        <f>6700</f>
        <v>6700</v>
      </c>
      <c r="R7">
        <f>6700</f>
        <v>6700</v>
      </c>
      <c r="S7">
        <f>6700</f>
        <v>6700</v>
      </c>
      <c r="T7">
        <f>6700</f>
        <v>6700</v>
      </c>
      <c r="U7">
        <f>6700</f>
        <v>6700</v>
      </c>
      <c r="V7">
        <f>6700</f>
        <v>6700</v>
      </c>
      <c r="W7">
        <f>6700</f>
        <v>6700</v>
      </c>
      <c r="X7" s="179">
        <f>6700</f>
        <v>6700</v>
      </c>
      <c r="Y7">
        <f>6700</f>
        <v>6700</v>
      </c>
      <c r="Z7">
        <f>6700</f>
        <v>6700</v>
      </c>
      <c r="AA7">
        <f>6700</f>
        <v>6700</v>
      </c>
    </row>
    <row r="8" spans="1:24" s="8" customFormat="1" ht="15.75">
      <c r="A8" s="9"/>
      <c r="D8" s="63"/>
      <c r="E8" s="72"/>
      <c r="F8" s="72"/>
      <c r="G8" s="72"/>
      <c r="H8" s="135"/>
      <c r="I8" s="109" t="s">
        <v>25</v>
      </c>
      <c r="X8" s="182"/>
    </row>
    <row r="9" spans="1:27" s="10" customFormat="1" ht="12.75">
      <c r="A9" s="9"/>
      <c r="C9" s="55"/>
      <c r="D9" s="67" t="s">
        <v>14</v>
      </c>
      <c r="E9" s="88" t="s">
        <v>0</v>
      </c>
      <c r="F9" s="88" t="s">
        <v>1</v>
      </c>
      <c r="G9" s="88" t="s">
        <v>2</v>
      </c>
      <c r="H9" s="126" t="s">
        <v>3</v>
      </c>
      <c r="I9" s="142" t="s">
        <v>4</v>
      </c>
      <c r="J9" s="12" t="s">
        <v>5</v>
      </c>
      <c r="K9" s="12" t="s">
        <v>6</v>
      </c>
      <c r="L9" s="12" t="s">
        <v>7</v>
      </c>
      <c r="M9" s="13" t="s">
        <v>8</v>
      </c>
      <c r="N9" s="13" t="s">
        <v>9</v>
      </c>
      <c r="O9" s="13" t="s">
        <v>10</v>
      </c>
      <c r="P9" s="13" t="s">
        <v>11</v>
      </c>
      <c r="Q9" s="125">
        <v>2015</v>
      </c>
      <c r="R9" s="44">
        <v>2016</v>
      </c>
      <c r="S9" s="125">
        <v>2017</v>
      </c>
      <c r="T9" s="166"/>
      <c r="U9" s="44"/>
      <c r="V9" s="44"/>
      <c r="W9" s="44"/>
      <c r="X9" s="183"/>
      <c r="Y9" s="44"/>
      <c r="Z9" s="44"/>
      <c r="AA9" s="44"/>
    </row>
    <row r="10" spans="1:24" s="1" customFormat="1" ht="12.75">
      <c r="A10" s="17"/>
      <c r="B10" s="21" t="s">
        <v>26</v>
      </c>
      <c r="C10" s="56"/>
      <c r="D10" s="59"/>
      <c r="E10" s="59"/>
      <c r="F10" s="59"/>
      <c r="G10" s="59"/>
      <c r="H10" s="136"/>
      <c r="I10" s="110"/>
      <c r="X10" s="184"/>
    </row>
    <row r="11" spans="1:24" s="1" customFormat="1" ht="12.75">
      <c r="A11" s="17"/>
      <c r="B11" s="36"/>
      <c r="C11" s="56"/>
      <c r="D11" s="59"/>
      <c r="E11" s="59"/>
      <c r="F11" s="59"/>
      <c r="G11" s="59"/>
      <c r="H11" s="136"/>
      <c r="I11" s="110"/>
      <c r="X11" s="184"/>
    </row>
    <row r="12" spans="1:27" s="1" customFormat="1" ht="12.75">
      <c r="A12" s="17"/>
      <c r="B12" s="25" t="s">
        <v>46</v>
      </c>
      <c r="C12" s="56"/>
      <c r="D12" s="64"/>
      <c r="E12" s="64"/>
      <c r="F12" s="64"/>
      <c r="G12" s="64"/>
      <c r="H12" s="137"/>
      <c r="I12" s="111"/>
      <c r="J12" s="5">
        <f>J5*J7*1000/10^6</f>
        <v>12.5625</v>
      </c>
      <c r="K12" s="5">
        <f aca="true" t="shared" si="0" ref="K12:P12">K5*K7*1000/10^6</f>
        <v>25.125</v>
      </c>
      <c r="L12" s="5">
        <f t="shared" si="0"/>
        <v>37.6875</v>
      </c>
      <c r="M12" s="5">
        <f t="shared" si="0"/>
        <v>41.875</v>
      </c>
      <c r="N12" s="5">
        <f t="shared" si="0"/>
        <v>50.25</v>
      </c>
      <c r="O12" s="5">
        <f t="shared" si="0"/>
        <v>50.25</v>
      </c>
      <c r="P12" s="5">
        <f t="shared" si="0"/>
        <v>50.25</v>
      </c>
      <c r="Q12" s="5">
        <f aca="true" t="shared" si="1" ref="Q12:W12">Q5*6700*1000/10^6</f>
        <v>201</v>
      </c>
      <c r="R12" s="5">
        <f t="shared" si="1"/>
        <v>201</v>
      </c>
      <c r="S12" s="5">
        <f t="shared" si="1"/>
        <v>201</v>
      </c>
      <c r="T12" s="5">
        <f>T5*6700*1000/10^6</f>
        <v>134</v>
      </c>
      <c r="U12" s="5">
        <f t="shared" si="1"/>
        <v>167.5</v>
      </c>
      <c r="V12" s="5">
        <f t="shared" si="1"/>
        <v>201</v>
      </c>
      <c r="W12" s="5">
        <f t="shared" si="1"/>
        <v>234.5</v>
      </c>
      <c r="X12" s="185">
        <f>X5*6700*1000/10^6</f>
        <v>268</v>
      </c>
      <c r="Y12" s="5">
        <f>Y5*6700*1000/10^6</f>
        <v>301.5</v>
      </c>
      <c r="Z12" s="5">
        <f>Z5*6700*1000/10^6</f>
        <v>335</v>
      </c>
      <c r="AA12" s="5">
        <f>AA5*6700*1000/10^6</f>
        <v>368.5</v>
      </c>
    </row>
    <row r="13" spans="1:27" s="41" customFormat="1" ht="12.75">
      <c r="A13" s="39"/>
      <c r="B13" s="40" t="s">
        <v>32</v>
      </c>
      <c r="C13" s="38"/>
      <c r="D13" s="38"/>
      <c r="E13" s="38"/>
      <c r="F13" s="38"/>
      <c r="G13" s="38"/>
      <c r="H13" s="138"/>
      <c r="I13" s="112"/>
      <c r="J13" s="41">
        <f>(J5-(15.7))/J5</f>
        <v>0.4766666666666667</v>
      </c>
      <c r="K13" s="41">
        <f aca="true" t="shared" si="2" ref="K13:W13">(K5-(15.7))/K5</f>
        <v>0.4766666666666667</v>
      </c>
      <c r="L13" s="41">
        <f t="shared" si="2"/>
        <v>0.4766666666666667</v>
      </c>
      <c r="M13" s="41">
        <f t="shared" si="2"/>
        <v>0.37200000000000005</v>
      </c>
      <c r="N13" s="41">
        <f t="shared" si="2"/>
        <v>0.4766666666666667</v>
      </c>
      <c r="O13" s="41">
        <f t="shared" si="2"/>
        <v>0.4766666666666667</v>
      </c>
      <c r="P13" s="41">
        <f t="shared" si="2"/>
        <v>0.4766666666666667</v>
      </c>
      <c r="Q13" s="41">
        <f t="shared" si="2"/>
        <v>0.4766666666666667</v>
      </c>
      <c r="R13" s="41">
        <f t="shared" si="2"/>
        <v>0.4766666666666667</v>
      </c>
      <c r="S13" s="41">
        <f t="shared" si="2"/>
        <v>0.4766666666666667</v>
      </c>
      <c r="T13" s="41">
        <f>(T5-(15.7))/T5</f>
        <v>0.21500000000000002</v>
      </c>
      <c r="U13" s="41">
        <f t="shared" si="2"/>
        <v>0.37200000000000005</v>
      </c>
      <c r="V13" s="41">
        <f t="shared" si="2"/>
        <v>0.4766666666666667</v>
      </c>
      <c r="W13" s="41">
        <f t="shared" si="2"/>
        <v>0.5514285714285715</v>
      </c>
      <c r="X13" s="186">
        <f>(X5-(15.7))/X5</f>
        <v>0.6075</v>
      </c>
      <c r="Y13" s="41">
        <f>(Y5-(15.7))/Y5</f>
        <v>0.6511111111111111</v>
      </c>
      <c r="Z13" s="41">
        <f>(Z5-(15.7))/Z5</f>
        <v>0.6859999999999999</v>
      </c>
      <c r="AA13" s="41">
        <f>(AA5-(15.7))/AA5</f>
        <v>0.7145454545454545</v>
      </c>
    </row>
    <row r="14" spans="1:27" s="1" customFormat="1" ht="12.75">
      <c r="A14" s="17"/>
      <c r="B14" s="15" t="s">
        <v>86</v>
      </c>
      <c r="C14" s="56"/>
      <c r="D14" s="27"/>
      <c r="E14" s="27"/>
      <c r="F14" s="27"/>
      <c r="G14" s="27"/>
      <c r="H14" s="127"/>
      <c r="I14" s="75"/>
      <c r="J14" s="27">
        <f aca="true" t="shared" si="3" ref="J14:W14">+J12*J13</f>
        <v>5.988125</v>
      </c>
      <c r="K14" s="27">
        <f t="shared" si="3"/>
        <v>11.97625</v>
      </c>
      <c r="L14" s="27">
        <f t="shared" si="3"/>
        <v>17.964375</v>
      </c>
      <c r="M14" s="27">
        <f t="shared" si="3"/>
        <v>15.577500000000002</v>
      </c>
      <c r="N14" s="27">
        <f t="shared" si="3"/>
        <v>23.9525</v>
      </c>
      <c r="O14" s="27">
        <f t="shared" si="3"/>
        <v>23.9525</v>
      </c>
      <c r="P14" s="27">
        <f t="shared" si="3"/>
        <v>23.9525</v>
      </c>
      <c r="Q14" s="27">
        <f t="shared" si="3"/>
        <v>95.81</v>
      </c>
      <c r="R14" s="27">
        <f t="shared" si="3"/>
        <v>95.81</v>
      </c>
      <c r="S14" s="27">
        <f t="shared" si="3"/>
        <v>95.81</v>
      </c>
      <c r="T14" s="27">
        <f>+T12*T13</f>
        <v>28.810000000000002</v>
      </c>
      <c r="U14" s="27">
        <f t="shared" si="3"/>
        <v>62.31000000000001</v>
      </c>
      <c r="V14" s="27">
        <f t="shared" si="3"/>
        <v>95.81</v>
      </c>
      <c r="W14" s="27">
        <f t="shared" si="3"/>
        <v>129.31</v>
      </c>
      <c r="X14" s="187">
        <f>+X12*X13</f>
        <v>162.81</v>
      </c>
      <c r="Y14" s="27">
        <f>+Y12*Y13</f>
        <v>196.31</v>
      </c>
      <c r="Z14" s="27">
        <f>+Z12*Z13</f>
        <v>229.80999999999997</v>
      </c>
      <c r="AA14" s="27">
        <f>+AA12*AA13</f>
        <v>263.31</v>
      </c>
    </row>
    <row r="15" spans="1:27" s="1" customFormat="1" ht="12.75">
      <c r="A15" s="17"/>
      <c r="B15" s="25"/>
      <c r="C15" s="56"/>
      <c r="D15" s="64"/>
      <c r="E15" s="64"/>
      <c r="F15" s="64"/>
      <c r="G15" s="64"/>
      <c r="H15" s="137"/>
      <c r="I15" s="11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85"/>
      <c r="Y15" s="5"/>
      <c r="Z15" s="5"/>
      <c r="AA15" s="5"/>
    </row>
    <row r="16" spans="1:27" s="1" customFormat="1" ht="12.75">
      <c r="A16" s="17"/>
      <c r="B16" s="25" t="s">
        <v>47</v>
      </c>
      <c r="C16" s="56"/>
      <c r="D16" s="64"/>
      <c r="E16" s="64"/>
      <c r="F16" s="64"/>
      <c r="G16" s="64"/>
      <c r="H16" s="137"/>
      <c r="I16" s="111"/>
      <c r="J16" s="5">
        <f>J6*1200000/10^6/4</f>
        <v>31.5</v>
      </c>
      <c r="K16" s="5">
        <f aca="true" t="shared" si="4" ref="K16:P16">K6*1200000/10^6/4</f>
        <v>31.5</v>
      </c>
      <c r="L16" s="5">
        <f t="shared" si="4"/>
        <v>31.5</v>
      </c>
      <c r="M16" s="5">
        <f t="shared" si="4"/>
        <v>31.5</v>
      </c>
      <c r="N16" s="5">
        <f t="shared" si="4"/>
        <v>31.5</v>
      </c>
      <c r="O16" s="5">
        <f t="shared" si="4"/>
        <v>31.5</v>
      </c>
      <c r="P16" s="5">
        <f t="shared" si="4"/>
        <v>31.5</v>
      </c>
      <c r="Q16" s="5">
        <f>Q6*1200000/10^6</f>
        <v>126</v>
      </c>
      <c r="R16" s="5">
        <f aca="true" t="shared" si="5" ref="R16:W16">R6*1200000/10^6</f>
        <v>126</v>
      </c>
      <c r="S16" s="5">
        <f t="shared" si="5"/>
        <v>126</v>
      </c>
      <c r="T16" s="5">
        <f>T6*1200000/10^6</f>
        <v>90</v>
      </c>
      <c r="U16" s="5">
        <f t="shared" si="5"/>
        <v>114</v>
      </c>
      <c r="V16" s="5">
        <f t="shared" si="5"/>
        <v>120</v>
      </c>
      <c r="W16" s="5">
        <f t="shared" si="5"/>
        <v>126</v>
      </c>
      <c r="X16" s="185">
        <f>X6*1200000/10^6</f>
        <v>138</v>
      </c>
      <c r="Y16" s="5">
        <f>Y6*1200000/10^6</f>
        <v>138</v>
      </c>
      <c r="Z16" s="5">
        <f>Z6*1200000/10^6</f>
        <v>138</v>
      </c>
      <c r="AA16" s="5">
        <f>AA6*1200000/10^6</f>
        <v>138</v>
      </c>
    </row>
    <row r="17" spans="1:27" s="41" customFormat="1" ht="12.75">
      <c r="A17" s="39"/>
      <c r="B17" s="40" t="s">
        <v>32</v>
      </c>
      <c r="C17" s="57"/>
      <c r="D17" s="38"/>
      <c r="E17" s="38"/>
      <c r="F17" s="38"/>
      <c r="G17" s="38"/>
      <c r="H17" s="138"/>
      <c r="I17" s="112"/>
      <c r="J17" s="38">
        <f>(J6-65)/J6</f>
        <v>0.38095238095238093</v>
      </c>
      <c r="K17" s="38">
        <f aca="true" t="shared" si="6" ref="K17:AA17">(K6-65)/K6</f>
        <v>0.38095238095238093</v>
      </c>
      <c r="L17" s="38">
        <f t="shared" si="6"/>
        <v>0.38095238095238093</v>
      </c>
      <c r="M17" s="38">
        <f t="shared" si="6"/>
        <v>0.38095238095238093</v>
      </c>
      <c r="N17" s="38">
        <f t="shared" si="6"/>
        <v>0.38095238095238093</v>
      </c>
      <c r="O17" s="38">
        <f t="shared" si="6"/>
        <v>0.38095238095238093</v>
      </c>
      <c r="P17" s="38">
        <f t="shared" si="6"/>
        <v>0.38095238095238093</v>
      </c>
      <c r="Q17" s="38">
        <f t="shared" si="6"/>
        <v>0.38095238095238093</v>
      </c>
      <c r="R17" s="38">
        <f t="shared" si="6"/>
        <v>0.38095238095238093</v>
      </c>
      <c r="S17" s="38">
        <f t="shared" si="6"/>
        <v>0.38095238095238093</v>
      </c>
      <c r="T17" s="38">
        <f t="shared" si="6"/>
        <v>0.13333333333333333</v>
      </c>
      <c r="U17" s="38">
        <f t="shared" si="6"/>
        <v>0.3157894736842105</v>
      </c>
      <c r="V17" s="38">
        <f t="shared" si="6"/>
        <v>0.35</v>
      </c>
      <c r="W17" s="38">
        <f t="shared" si="6"/>
        <v>0.38095238095238093</v>
      </c>
      <c r="X17" s="186">
        <f>(X6-65)/X6</f>
        <v>0.43478260869565216</v>
      </c>
      <c r="Y17" s="38">
        <f t="shared" si="6"/>
        <v>0.43478260869565216</v>
      </c>
      <c r="Z17" s="38">
        <f t="shared" si="6"/>
        <v>0.43478260869565216</v>
      </c>
      <c r="AA17" s="38">
        <f t="shared" si="6"/>
        <v>0.43478260869565216</v>
      </c>
    </row>
    <row r="18" spans="1:27" s="1" customFormat="1" ht="12.75">
      <c r="A18" s="17"/>
      <c r="B18" s="15" t="s">
        <v>87</v>
      </c>
      <c r="C18" s="56"/>
      <c r="D18" s="27"/>
      <c r="E18" s="27"/>
      <c r="F18" s="27"/>
      <c r="G18" s="27"/>
      <c r="H18" s="127"/>
      <c r="I18" s="75"/>
      <c r="J18" s="27">
        <f aca="true" t="shared" si="7" ref="J18:W18">+J16*J17</f>
        <v>12</v>
      </c>
      <c r="K18" s="27">
        <f t="shared" si="7"/>
        <v>12</v>
      </c>
      <c r="L18" s="27">
        <f t="shared" si="7"/>
        <v>12</v>
      </c>
      <c r="M18" s="27">
        <f t="shared" si="7"/>
        <v>12</v>
      </c>
      <c r="N18" s="27">
        <f t="shared" si="7"/>
        <v>12</v>
      </c>
      <c r="O18" s="27">
        <f t="shared" si="7"/>
        <v>12</v>
      </c>
      <c r="P18" s="27">
        <f t="shared" si="7"/>
        <v>12</v>
      </c>
      <c r="Q18" s="27">
        <f t="shared" si="7"/>
        <v>48</v>
      </c>
      <c r="R18" s="27">
        <f t="shared" si="7"/>
        <v>48</v>
      </c>
      <c r="S18" s="27">
        <f t="shared" si="7"/>
        <v>48</v>
      </c>
      <c r="T18" s="27">
        <f>+T16*T17</f>
        <v>12</v>
      </c>
      <c r="U18" s="27">
        <f t="shared" si="7"/>
        <v>36</v>
      </c>
      <c r="V18" s="27">
        <f t="shared" si="7"/>
        <v>42</v>
      </c>
      <c r="W18" s="27">
        <f t="shared" si="7"/>
        <v>48</v>
      </c>
      <c r="X18" s="187">
        <f>+X16*X17</f>
        <v>60</v>
      </c>
      <c r="Y18" s="27">
        <f>+Y16*Y17</f>
        <v>60</v>
      </c>
      <c r="Z18" s="27">
        <f>+Z16*Z17</f>
        <v>60</v>
      </c>
      <c r="AA18" s="27">
        <f>+AA16*AA17</f>
        <v>60</v>
      </c>
    </row>
    <row r="19" spans="1:27" s="1" customFormat="1" ht="12.75">
      <c r="A19" s="17"/>
      <c r="B19" s="15" t="s">
        <v>90</v>
      </c>
      <c r="C19" s="56"/>
      <c r="D19" s="27"/>
      <c r="E19" s="27"/>
      <c r="F19" s="27"/>
      <c r="G19" s="27"/>
      <c r="H19" s="127"/>
      <c r="I19" s="75"/>
      <c r="J19" s="27"/>
      <c r="K19" s="27"/>
      <c r="L19" s="27"/>
      <c r="M19" s="27">
        <f>(12+15)/2/4</f>
        <v>3.375</v>
      </c>
      <c r="N19" s="27">
        <f>(12+15)/2/4</f>
        <v>3.375</v>
      </c>
      <c r="O19" s="27">
        <f>(12+15)/2/4</f>
        <v>3.375</v>
      </c>
      <c r="P19" s="27">
        <f>(12+15)/2/4</f>
        <v>3.375</v>
      </c>
      <c r="Q19" s="27">
        <f aca="true" t="shared" si="8" ref="Q19:AA19">(12+15)/2</f>
        <v>13.5</v>
      </c>
      <c r="R19" s="27">
        <f t="shared" si="8"/>
        <v>13.5</v>
      </c>
      <c r="S19" s="27">
        <f t="shared" si="8"/>
        <v>13.5</v>
      </c>
      <c r="T19" s="27">
        <f t="shared" si="8"/>
        <v>13.5</v>
      </c>
      <c r="U19" s="27">
        <f t="shared" si="8"/>
        <v>13.5</v>
      </c>
      <c r="V19" s="27">
        <f t="shared" si="8"/>
        <v>13.5</v>
      </c>
      <c r="W19" s="27">
        <f t="shared" si="8"/>
        <v>13.5</v>
      </c>
      <c r="X19" s="187">
        <f t="shared" si="8"/>
        <v>13.5</v>
      </c>
      <c r="Y19" s="27">
        <f t="shared" si="8"/>
        <v>13.5</v>
      </c>
      <c r="Z19" s="27">
        <f t="shared" si="8"/>
        <v>13.5</v>
      </c>
      <c r="AA19" s="27">
        <f t="shared" si="8"/>
        <v>13.5</v>
      </c>
    </row>
    <row r="20" spans="1:27" s="1" customFormat="1" ht="12.75">
      <c r="A20" s="17"/>
      <c r="B20" s="26"/>
      <c r="C20" s="56"/>
      <c r="D20" s="20"/>
      <c r="E20" s="20"/>
      <c r="F20" s="20"/>
      <c r="G20" s="20"/>
      <c r="H20" s="139"/>
      <c r="I20" s="11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188"/>
      <c r="Y20" s="20"/>
      <c r="Z20" s="20"/>
      <c r="AA20" s="20"/>
    </row>
    <row r="21" spans="1:27" s="1" customFormat="1" ht="12.75">
      <c r="A21" s="17"/>
      <c r="B21" s="26" t="s">
        <v>28</v>
      </c>
      <c r="C21" s="56"/>
      <c r="D21" s="64"/>
      <c r="E21" s="64"/>
      <c r="F21" s="64"/>
      <c r="G21" s="64"/>
      <c r="H21" s="137"/>
      <c r="I21" s="111"/>
      <c r="J21" s="5">
        <f aca="true" t="shared" si="9" ref="J21:AA21">+J12+J16+J19</f>
        <v>44.0625</v>
      </c>
      <c r="K21" s="5">
        <f t="shared" si="9"/>
        <v>56.625</v>
      </c>
      <c r="L21" s="5">
        <f t="shared" si="9"/>
        <v>69.1875</v>
      </c>
      <c r="M21" s="5">
        <f t="shared" si="9"/>
        <v>76.75</v>
      </c>
      <c r="N21" s="5">
        <f t="shared" si="9"/>
        <v>85.125</v>
      </c>
      <c r="O21" s="5">
        <f t="shared" si="9"/>
        <v>85.125</v>
      </c>
      <c r="P21" s="5">
        <f t="shared" si="9"/>
        <v>85.125</v>
      </c>
      <c r="Q21" s="5">
        <f t="shared" si="9"/>
        <v>340.5</v>
      </c>
      <c r="R21" s="5">
        <f t="shared" si="9"/>
        <v>340.5</v>
      </c>
      <c r="S21" s="5">
        <f t="shared" si="9"/>
        <v>340.5</v>
      </c>
      <c r="T21" s="5">
        <f t="shared" si="9"/>
        <v>237.5</v>
      </c>
      <c r="U21" s="5">
        <f t="shared" si="9"/>
        <v>295</v>
      </c>
      <c r="V21" s="5">
        <f t="shared" si="9"/>
        <v>334.5</v>
      </c>
      <c r="W21" s="5">
        <f t="shared" si="9"/>
        <v>374</v>
      </c>
      <c r="X21" s="185">
        <f t="shared" si="9"/>
        <v>419.5</v>
      </c>
      <c r="Y21" s="5">
        <f t="shared" si="9"/>
        <v>453</v>
      </c>
      <c r="Z21" s="5">
        <f t="shared" si="9"/>
        <v>486.5</v>
      </c>
      <c r="AA21" s="5">
        <f t="shared" si="9"/>
        <v>520</v>
      </c>
    </row>
    <row r="22" spans="1:27" s="15" customFormat="1" ht="13.5" thickBot="1">
      <c r="A22" s="18" t="s">
        <v>12</v>
      </c>
      <c r="B22" s="18" t="s">
        <v>30</v>
      </c>
      <c r="C22" s="58"/>
      <c r="D22" s="28"/>
      <c r="E22" s="28"/>
      <c r="F22" s="28"/>
      <c r="G22" s="28"/>
      <c r="H22" s="128"/>
      <c r="I22" s="76"/>
      <c r="J22" s="28">
        <f>+J14+J18+J19</f>
        <v>17.988125</v>
      </c>
      <c r="K22" s="28">
        <f>+K14+K18+K19</f>
        <v>23.97625</v>
      </c>
      <c r="L22" s="28">
        <f>+L14+L18+L19</f>
        <v>29.964375</v>
      </c>
      <c r="M22" s="28">
        <f>+M14+M18+M19</f>
        <v>30.9525</v>
      </c>
      <c r="N22" s="28">
        <f>+N14+N18+N19+100</f>
        <v>139.3275</v>
      </c>
      <c r="O22" s="28">
        <f aca="true" t="shared" si="10" ref="O22:AA22">+O14+O18+O19</f>
        <v>39.3275</v>
      </c>
      <c r="P22" s="28">
        <f t="shared" si="10"/>
        <v>39.3275</v>
      </c>
      <c r="Q22" s="28">
        <f t="shared" si="10"/>
        <v>157.31</v>
      </c>
      <c r="R22" s="28">
        <f t="shared" si="10"/>
        <v>157.31</v>
      </c>
      <c r="S22" s="28">
        <f t="shared" si="10"/>
        <v>157.31</v>
      </c>
      <c r="T22" s="28">
        <f t="shared" si="10"/>
        <v>54.31</v>
      </c>
      <c r="U22" s="28">
        <f t="shared" si="10"/>
        <v>111.81</v>
      </c>
      <c r="V22" s="28">
        <f t="shared" si="10"/>
        <v>151.31</v>
      </c>
      <c r="W22" s="28">
        <f t="shared" si="10"/>
        <v>190.81</v>
      </c>
      <c r="X22" s="189">
        <f t="shared" si="10"/>
        <v>236.31</v>
      </c>
      <c r="Y22" s="28">
        <f t="shared" si="10"/>
        <v>269.81</v>
      </c>
      <c r="Z22" s="28">
        <f t="shared" si="10"/>
        <v>303.30999999999995</v>
      </c>
      <c r="AA22" s="28">
        <f t="shared" si="10"/>
        <v>336.81</v>
      </c>
    </row>
    <row r="23" spans="1:27" s="15" customFormat="1" ht="13.5" thickTop="1">
      <c r="A23" s="18"/>
      <c r="B23" s="15" t="s">
        <v>89</v>
      </c>
      <c r="C23" s="58"/>
      <c r="D23" s="29"/>
      <c r="E23" s="90"/>
      <c r="F23" s="90"/>
      <c r="G23" s="90"/>
      <c r="H23" s="129"/>
      <c r="I23" s="143"/>
      <c r="J23" s="89">
        <f aca="true" t="shared" si="11" ref="J23:R23">+J22/J21</f>
        <v>0.40824113475177304</v>
      </c>
      <c r="K23" s="89">
        <f t="shared" si="11"/>
        <v>0.4234216335540839</v>
      </c>
      <c r="L23" s="89">
        <f t="shared" si="11"/>
        <v>0.43308943089430896</v>
      </c>
      <c r="M23" s="94">
        <f t="shared" si="11"/>
        <v>0.4032899022801303</v>
      </c>
      <c r="N23" s="94">
        <f t="shared" si="11"/>
        <v>1.6367400881057268</v>
      </c>
      <c r="O23" s="94">
        <f t="shared" si="11"/>
        <v>0.4619970631424376</v>
      </c>
      <c r="P23" s="94">
        <f t="shared" si="11"/>
        <v>0.4619970631424376</v>
      </c>
      <c r="Q23" s="99">
        <f t="shared" si="11"/>
        <v>0.4619970631424376</v>
      </c>
      <c r="R23" s="90">
        <f t="shared" si="11"/>
        <v>0.4619970631424376</v>
      </c>
      <c r="S23" s="99">
        <f aca="true" t="shared" si="12" ref="S23:AA23">+S22/S21</f>
        <v>0.4619970631424376</v>
      </c>
      <c r="T23" s="90">
        <f t="shared" si="12"/>
        <v>0.22867368421052633</v>
      </c>
      <c r="U23" s="90">
        <f t="shared" si="12"/>
        <v>0.37901694915254236</v>
      </c>
      <c r="V23" s="99">
        <f t="shared" si="12"/>
        <v>0.45234678624813157</v>
      </c>
      <c r="W23" s="90">
        <f t="shared" si="12"/>
        <v>0.5101871657754011</v>
      </c>
      <c r="X23" s="190">
        <f t="shared" si="12"/>
        <v>0.5633134684147795</v>
      </c>
      <c r="Y23" s="90">
        <f t="shared" si="12"/>
        <v>0.5956070640176601</v>
      </c>
      <c r="Z23" s="90">
        <f t="shared" si="12"/>
        <v>0.6234532374100719</v>
      </c>
      <c r="AA23" s="90">
        <f t="shared" si="12"/>
        <v>0.6477115384615385</v>
      </c>
    </row>
    <row r="24" spans="1:24" s="1" customFormat="1" ht="12.75">
      <c r="A24" s="17"/>
      <c r="B24" s="36"/>
      <c r="C24" s="56"/>
      <c r="D24" s="59"/>
      <c r="E24" s="59"/>
      <c r="F24" s="59"/>
      <c r="G24" s="59"/>
      <c r="H24" s="136"/>
      <c r="I24" s="110"/>
      <c r="X24" s="184"/>
    </row>
    <row r="25" spans="1:27" s="15" customFormat="1" ht="12.75">
      <c r="A25" s="18"/>
      <c r="B25" s="14"/>
      <c r="C25" s="58"/>
      <c r="D25" s="20"/>
      <c r="E25" s="20"/>
      <c r="F25" s="20"/>
      <c r="G25" s="20"/>
      <c r="H25" s="139"/>
      <c r="I25" s="11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188"/>
      <c r="Y25" s="20"/>
      <c r="Z25" s="20"/>
      <c r="AA25" s="20"/>
    </row>
    <row r="26" spans="1:27" s="1" customFormat="1" ht="12.75">
      <c r="A26" s="17"/>
      <c r="B26" s="21" t="s">
        <v>21</v>
      </c>
      <c r="C26" s="59"/>
      <c r="D26" s="64"/>
      <c r="E26" s="64"/>
      <c r="F26" s="64"/>
      <c r="G26" s="64"/>
      <c r="H26" s="137"/>
      <c r="I26" s="11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85"/>
      <c r="Y26" s="5"/>
      <c r="Z26" s="5"/>
      <c r="AA26" s="5"/>
    </row>
    <row r="27" spans="1:27" s="1" customFormat="1" ht="12.75">
      <c r="A27" s="17"/>
      <c r="B27" s="14" t="s">
        <v>54</v>
      </c>
      <c r="C27" s="59"/>
      <c r="D27" s="64"/>
      <c r="E27" s="64"/>
      <c r="F27" s="64"/>
      <c r="G27" s="64"/>
      <c r="H27" s="137"/>
      <c r="I27" s="111">
        <f>I45*0.13*0.25</f>
        <v>14.456000000000001</v>
      </c>
      <c r="J27" s="5">
        <f>J45*0.13*0.25</f>
        <v>14.456000000000001</v>
      </c>
      <c r="K27" s="5">
        <f>K45*0.13*0.25</f>
        <v>14.456000000000001</v>
      </c>
      <c r="L27" s="5">
        <f>L45*0.13*0.25</f>
        <v>14.456000000000001</v>
      </c>
      <c r="M27" s="5">
        <f>M45*0.12*0.25</f>
        <v>12.834</v>
      </c>
      <c r="N27" s="5">
        <f>N45*0.12*0.25</f>
        <v>9.684</v>
      </c>
      <c r="O27" s="5">
        <f>O45*0.12*0.25</f>
        <v>8.784</v>
      </c>
      <c r="P27" s="5">
        <f>P45*0.12*0.25</f>
        <v>7.584</v>
      </c>
      <c r="Q27" s="5">
        <f aca="true" t="shared" si="13" ref="Q27:W27">Q45*0.12</f>
        <v>12.336</v>
      </c>
      <c r="R27" s="5">
        <f t="shared" si="13"/>
        <v>12.336</v>
      </c>
      <c r="S27" s="5">
        <f t="shared" si="13"/>
        <v>12.336</v>
      </c>
      <c r="T27" s="5">
        <f>T45*0.12</f>
        <v>12.336</v>
      </c>
      <c r="U27" s="5">
        <f t="shared" si="13"/>
        <v>12.336</v>
      </c>
      <c r="V27" s="5">
        <f t="shared" si="13"/>
        <v>12.336</v>
      </c>
      <c r="W27" s="5">
        <f t="shared" si="13"/>
        <v>12.336</v>
      </c>
      <c r="X27" s="185">
        <f>X45*0.12</f>
        <v>12.336</v>
      </c>
      <c r="Y27" s="5">
        <f>Y45*0.12</f>
        <v>12.336</v>
      </c>
      <c r="Z27" s="5">
        <f>Z45*0.12</f>
        <v>12.336</v>
      </c>
      <c r="AA27" s="5">
        <f>AA45*0.12</f>
        <v>12.336</v>
      </c>
    </row>
    <row r="28" spans="1:27" s="1" customFormat="1" ht="12.75">
      <c r="A28" s="17"/>
      <c r="B28" s="14" t="s">
        <v>31</v>
      </c>
      <c r="C28" s="59"/>
      <c r="D28" s="64"/>
      <c r="E28" s="73"/>
      <c r="F28" s="64"/>
      <c r="G28" s="64"/>
      <c r="H28" s="137"/>
      <c r="I28" s="111">
        <v>16</v>
      </c>
      <c r="J28" s="5">
        <f>(J22-J27)*0.3</f>
        <v>1.0596374999999996</v>
      </c>
      <c r="K28" s="5">
        <f aca="true" t="shared" si="14" ref="K28:W28">(K22-K27)*0.3</f>
        <v>2.8560749999999997</v>
      </c>
      <c r="L28" s="5">
        <f t="shared" si="14"/>
        <v>4.652512499999999</v>
      </c>
      <c r="M28" s="5">
        <f t="shared" si="14"/>
        <v>5.43555</v>
      </c>
      <c r="N28" s="5">
        <f t="shared" si="14"/>
        <v>38.893049999999995</v>
      </c>
      <c r="O28" s="5">
        <f t="shared" si="14"/>
        <v>9.16305</v>
      </c>
      <c r="P28" s="5">
        <f t="shared" si="14"/>
        <v>9.52305</v>
      </c>
      <c r="Q28" s="5">
        <f t="shared" si="14"/>
        <v>43.4922</v>
      </c>
      <c r="R28" s="5">
        <f t="shared" si="14"/>
        <v>43.4922</v>
      </c>
      <c r="S28" s="5">
        <f t="shared" si="14"/>
        <v>43.4922</v>
      </c>
      <c r="T28" s="5">
        <f>(T22-T27)*0.3</f>
        <v>12.5922</v>
      </c>
      <c r="U28" s="5">
        <f t="shared" si="14"/>
        <v>29.8422</v>
      </c>
      <c r="V28" s="5">
        <f t="shared" si="14"/>
        <v>41.69219999999999</v>
      </c>
      <c r="W28" s="5">
        <f t="shared" si="14"/>
        <v>53.542199999999994</v>
      </c>
      <c r="X28" s="185">
        <f>(X22-X27)*0.3</f>
        <v>67.1922</v>
      </c>
      <c r="Y28" s="5">
        <f>(Y22-Y27)*0.3</f>
        <v>77.2422</v>
      </c>
      <c r="Z28" s="5">
        <f>(Z22-Z27)*0.3</f>
        <v>87.29219999999998</v>
      </c>
      <c r="AA28" s="5">
        <f>(AA22-AA27)*0.3</f>
        <v>97.34219999999999</v>
      </c>
    </row>
    <row r="29" spans="1:27" s="1" customFormat="1" ht="12.75">
      <c r="A29" s="17"/>
      <c r="C29" s="59"/>
      <c r="D29" s="64"/>
      <c r="E29" s="64"/>
      <c r="F29" s="64"/>
      <c r="G29" s="64"/>
      <c r="H29" s="137"/>
      <c r="I29" s="11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85"/>
      <c r="Y29" s="5"/>
      <c r="Z29" s="5"/>
      <c r="AA29" s="5"/>
    </row>
    <row r="30" spans="1:27" s="1" customFormat="1" ht="12.75">
      <c r="A30" s="17"/>
      <c r="B30" s="14" t="s">
        <v>27</v>
      </c>
      <c r="C30" s="59"/>
      <c r="D30" s="64"/>
      <c r="E30" s="64"/>
      <c r="F30" s="64"/>
      <c r="G30" s="64"/>
      <c r="H30" s="137"/>
      <c r="I30" s="111">
        <v>18.7</v>
      </c>
      <c r="J30" s="5">
        <v>0</v>
      </c>
      <c r="K30" s="5">
        <f aca="true" t="shared" si="15" ref="K30:P30">+J30</f>
        <v>0</v>
      </c>
      <c r="L30" s="5">
        <f t="shared" si="15"/>
        <v>0</v>
      </c>
      <c r="M30" s="5">
        <f t="shared" si="15"/>
        <v>0</v>
      </c>
      <c r="N30" s="5">
        <f t="shared" si="15"/>
        <v>0</v>
      </c>
      <c r="O30" s="5">
        <f t="shared" si="15"/>
        <v>0</v>
      </c>
      <c r="P30" s="5">
        <f t="shared" si="15"/>
        <v>0</v>
      </c>
      <c r="Q30" s="5">
        <f>+P30*4</f>
        <v>0</v>
      </c>
      <c r="R30" s="5">
        <f aca="true" t="shared" si="16" ref="R30:AA31">+Q30</f>
        <v>0</v>
      </c>
      <c r="S30" s="5">
        <f t="shared" si="16"/>
        <v>0</v>
      </c>
      <c r="T30" s="5">
        <f>+R30</f>
        <v>0</v>
      </c>
      <c r="U30" s="5">
        <f>+S30</f>
        <v>0</v>
      </c>
      <c r="V30" s="5">
        <f t="shared" si="16"/>
        <v>0</v>
      </c>
      <c r="W30" s="5">
        <f t="shared" si="16"/>
        <v>0</v>
      </c>
      <c r="X30" s="185">
        <f t="shared" si="16"/>
        <v>0</v>
      </c>
      <c r="Y30" s="5">
        <f t="shared" si="16"/>
        <v>0</v>
      </c>
      <c r="Z30" s="5">
        <f t="shared" si="16"/>
        <v>0</v>
      </c>
      <c r="AA30" s="5">
        <f t="shared" si="16"/>
        <v>0</v>
      </c>
    </row>
    <row r="31" spans="1:27" s="1" customFormat="1" ht="12.75">
      <c r="A31" s="17"/>
      <c r="B31" s="14" t="s">
        <v>13</v>
      </c>
      <c r="C31" s="60"/>
      <c r="D31" s="64"/>
      <c r="E31" s="64"/>
      <c r="F31" s="64"/>
      <c r="G31" s="64"/>
      <c r="H31" s="137"/>
      <c r="I31" s="111">
        <f aca="true" t="shared" si="17" ref="I31:P31">+H31</f>
        <v>0</v>
      </c>
      <c r="J31" s="5">
        <f t="shared" si="17"/>
        <v>0</v>
      </c>
      <c r="K31" s="5">
        <f t="shared" si="17"/>
        <v>0</v>
      </c>
      <c r="L31" s="5">
        <f t="shared" si="17"/>
        <v>0</v>
      </c>
      <c r="M31" s="5">
        <f t="shared" si="17"/>
        <v>0</v>
      </c>
      <c r="N31" s="5">
        <f t="shared" si="17"/>
        <v>0</v>
      </c>
      <c r="O31" s="5">
        <f t="shared" si="17"/>
        <v>0</v>
      </c>
      <c r="P31" s="5">
        <f t="shared" si="17"/>
        <v>0</v>
      </c>
      <c r="Q31" s="5">
        <f>+P31*4</f>
        <v>0</v>
      </c>
      <c r="R31" s="5">
        <f t="shared" si="16"/>
        <v>0</v>
      </c>
      <c r="S31" s="5">
        <f t="shared" si="16"/>
        <v>0</v>
      </c>
      <c r="T31" s="5">
        <f>+R31</f>
        <v>0</v>
      </c>
      <c r="U31" s="5">
        <f>+S31</f>
        <v>0</v>
      </c>
      <c r="V31" s="5">
        <f t="shared" si="16"/>
        <v>0</v>
      </c>
      <c r="W31" s="5">
        <f t="shared" si="16"/>
        <v>0</v>
      </c>
      <c r="X31" s="185">
        <f t="shared" si="16"/>
        <v>0</v>
      </c>
      <c r="Y31" s="5">
        <f t="shared" si="16"/>
        <v>0</v>
      </c>
      <c r="Z31" s="5">
        <f t="shared" si="16"/>
        <v>0</v>
      </c>
      <c r="AA31" s="5">
        <f t="shared" si="16"/>
        <v>0</v>
      </c>
    </row>
    <row r="32" spans="1:27" s="1" customFormat="1" ht="12.75">
      <c r="A32" s="17"/>
      <c r="C32" s="60"/>
      <c r="D32" s="6"/>
      <c r="E32" s="6"/>
      <c r="F32" s="6"/>
      <c r="G32" s="6"/>
      <c r="H32" s="140"/>
      <c r="I32" s="11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191"/>
      <c r="Y32" s="6"/>
      <c r="Z32" s="6"/>
      <c r="AA32" s="6"/>
    </row>
    <row r="33" spans="1:27" s="15" customFormat="1" ht="12.75">
      <c r="A33" s="18" t="s">
        <v>16</v>
      </c>
      <c r="B33" s="14" t="s">
        <v>15</v>
      </c>
      <c r="C33" s="61"/>
      <c r="D33" s="20"/>
      <c r="E33" s="20"/>
      <c r="F33" s="20"/>
      <c r="G33" s="20"/>
      <c r="H33" s="139"/>
      <c r="I33" s="113">
        <f aca="true" t="shared" si="18" ref="I33:W33">SUM(I27:I32)</f>
        <v>49.156000000000006</v>
      </c>
      <c r="J33" s="16">
        <f t="shared" si="18"/>
        <v>15.5156375</v>
      </c>
      <c r="K33" s="16">
        <f t="shared" si="18"/>
        <v>17.312075</v>
      </c>
      <c r="L33" s="16">
        <f t="shared" si="18"/>
        <v>19.1085125</v>
      </c>
      <c r="M33" s="16">
        <f t="shared" si="18"/>
        <v>18.26955</v>
      </c>
      <c r="N33" s="16">
        <f t="shared" si="18"/>
        <v>48.57704999999999</v>
      </c>
      <c r="O33" s="16">
        <f t="shared" si="18"/>
        <v>17.94705</v>
      </c>
      <c r="P33" s="16">
        <f t="shared" si="18"/>
        <v>17.10705</v>
      </c>
      <c r="Q33" s="16">
        <f t="shared" si="18"/>
        <v>55.828199999999995</v>
      </c>
      <c r="R33" s="16">
        <f t="shared" si="18"/>
        <v>55.828199999999995</v>
      </c>
      <c r="S33" s="16">
        <f t="shared" si="18"/>
        <v>55.828199999999995</v>
      </c>
      <c r="T33" s="16">
        <f>SUM(T27:T32)</f>
        <v>24.9282</v>
      </c>
      <c r="U33" s="16">
        <f t="shared" si="18"/>
        <v>42.1782</v>
      </c>
      <c r="V33" s="16">
        <f t="shared" si="18"/>
        <v>54.02819999999999</v>
      </c>
      <c r="W33" s="16">
        <f t="shared" si="18"/>
        <v>65.87819999999999</v>
      </c>
      <c r="X33" s="188">
        <f>SUM(X27:X32)</f>
        <v>79.5282</v>
      </c>
      <c r="Y33" s="16">
        <f>SUM(Y27:Y32)</f>
        <v>89.5782</v>
      </c>
      <c r="Z33" s="16">
        <f>SUM(Z27:Z32)</f>
        <v>99.62819999999998</v>
      </c>
      <c r="AA33" s="16">
        <f>SUM(AA27:AA32)</f>
        <v>109.67819999999999</v>
      </c>
    </row>
    <row r="34" spans="1:27" s="15" customFormat="1" ht="12.75">
      <c r="A34" s="18"/>
      <c r="B34" s="14"/>
      <c r="C34" s="61"/>
      <c r="D34" s="20"/>
      <c r="E34" s="20"/>
      <c r="F34" s="20"/>
      <c r="G34" s="20"/>
      <c r="H34" s="139"/>
      <c r="I34" s="113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88"/>
      <c r="Y34" s="16"/>
      <c r="Z34" s="16"/>
      <c r="AA34" s="16"/>
    </row>
    <row r="35" spans="1:27" s="15" customFormat="1" ht="12.75">
      <c r="A35" s="18"/>
      <c r="B35" s="2"/>
      <c r="C35" s="56"/>
      <c r="D35" s="64"/>
      <c r="E35" s="20"/>
      <c r="F35" s="20"/>
      <c r="G35" s="20"/>
      <c r="H35" s="139"/>
      <c r="I35" s="113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88"/>
      <c r="Y35" s="16"/>
      <c r="Z35" s="16"/>
      <c r="AA35" s="16"/>
    </row>
    <row r="36" spans="1:27" s="1" customFormat="1" ht="12.75">
      <c r="A36" s="17"/>
      <c r="B36" s="2"/>
      <c r="C36" s="56"/>
      <c r="D36" s="64"/>
      <c r="E36" s="64"/>
      <c r="F36" s="6"/>
      <c r="G36" s="64"/>
      <c r="H36" s="140"/>
      <c r="I36" s="11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91"/>
      <c r="Y36" s="6"/>
      <c r="Z36" s="6"/>
      <c r="AA36" s="6"/>
    </row>
    <row r="37" spans="1:27" s="15" customFormat="1" ht="13.5" thickBot="1">
      <c r="A37" s="18" t="s">
        <v>17</v>
      </c>
      <c r="B37" s="14" t="s">
        <v>18</v>
      </c>
      <c r="C37" s="62" t="s">
        <v>19</v>
      </c>
      <c r="D37" s="19"/>
      <c r="E37" s="54"/>
      <c r="F37" s="54"/>
      <c r="G37" s="54"/>
      <c r="H37" s="130"/>
      <c r="I37" s="144">
        <f aca="true" t="shared" si="19" ref="I37:W37">+I22-I33</f>
        <v>-49.156000000000006</v>
      </c>
      <c r="J37" s="92">
        <f t="shared" si="19"/>
        <v>2.4724874999999997</v>
      </c>
      <c r="K37" s="92">
        <f t="shared" si="19"/>
        <v>6.664175</v>
      </c>
      <c r="L37" s="92">
        <f t="shared" si="19"/>
        <v>10.8558625</v>
      </c>
      <c r="M37" s="95">
        <f t="shared" si="19"/>
        <v>12.682950000000002</v>
      </c>
      <c r="N37" s="95">
        <f t="shared" si="19"/>
        <v>90.75045</v>
      </c>
      <c r="O37" s="95">
        <f t="shared" si="19"/>
        <v>21.38045</v>
      </c>
      <c r="P37" s="95">
        <f t="shared" si="19"/>
        <v>22.22045</v>
      </c>
      <c r="Q37" s="100">
        <f t="shared" si="19"/>
        <v>101.4818</v>
      </c>
      <c r="R37" s="54">
        <f t="shared" si="19"/>
        <v>101.4818</v>
      </c>
      <c r="S37" s="100">
        <f t="shared" si="19"/>
        <v>101.4818</v>
      </c>
      <c r="T37" s="54">
        <f>+T22-T33</f>
        <v>29.381800000000002</v>
      </c>
      <c r="U37" s="54">
        <f t="shared" si="19"/>
        <v>69.6318</v>
      </c>
      <c r="V37" s="100">
        <f t="shared" si="19"/>
        <v>97.2818</v>
      </c>
      <c r="W37" s="54">
        <f t="shared" si="19"/>
        <v>124.93180000000001</v>
      </c>
      <c r="X37" s="192">
        <f>+X22-X33</f>
        <v>156.7818</v>
      </c>
      <c r="Y37" s="54">
        <f>+Y22-Y33</f>
        <v>180.23180000000002</v>
      </c>
      <c r="Z37" s="54">
        <f>+Z22-Z33</f>
        <v>203.68179999999995</v>
      </c>
      <c r="AA37" s="54">
        <f>+AA22-AA33</f>
        <v>227.1318</v>
      </c>
    </row>
    <row r="38" spans="1:27" s="15" customFormat="1" ht="13.5" thickTop="1">
      <c r="A38" s="18"/>
      <c r="B38" s="14"/>
      <c r="C38" s="62"/>
      <c r="D38" s="20"/>
      <c r="E38" s="20"/>
      <c r="F38" s="20"/>
      <c r="G38" s="20"/>
      <c r="H38" s="139"/>
      <c r="I38" s="11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88"/>
      <c r="Y38" s="20"/>
      <c r="Z38" s="20"/>
      <c r="AA38" s="20"/>
    </row>
    <row r="39" spans="2:27" ht="12.75">
      <c r="B39" s="22"/>
      <c r="C39" s="3"/>
      <c r="D39" s="65"/>
      <c r="E39" s="74"/>
      <c r="F39" s="74"/>
      <c r="G39" s="74"/>
      <c r="H39" s="141"/>
      <c r="I39" s="115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93"/>
      <c r="Y39" s="7"/>
      <c r="Z39" s="7"/>
      <c r="AA39" s="7"/>
    </row>
    <row r="40" spans="1:27" s="8" customFormat="1" ht="13.5" thickBot="1">
      <c r="A40" s="9" t="s">
        <v>20</v>
      </c>
      <c r="B40" s="8" t="s">
        <v>24</v>
      </c>
      <c r="C40" s="63" t="s">
        <v>22</v>
      </c>
      <c r="D40" s="45"/>
      <c r="E40" s="91"/>
      <c r="F40" s="91"/>
      <c r="G40" s="91"/>
      <c r="H40" s="131"/>
      <c r="I40" s="145"/>
      <c r="J40" s="93">
        <f aca="true" t="shared" si="20" ref="J40:W40">-SUM(J39:J39)+J37</f>
        <v>2.4724874999999997</v>
      </c>
      <c r="K40" s="93">
        <f>-SUM(K39:K39)+K37</f>
        <v>6.664175</v>
      </c>
      <c r="L40" s="93">
        <f t="shared" si="20"/>
        <v>10.8558625</v>
      </c>
      <c r="M40" s="96">
        <f t="shared" si="20"/>
        <v>12.682950000000002</v>
      </c>
      <c r="N40" s="96">
        <f t="shared" si="20"/>
        <v>90.75045</v>
      </c>
      <c r="O40" s="96">
        <f t="shared" si="20"/>
        <v>21.38045</v>
      </c>
      <c r="P40" s="96">
        <f t="shared" si="20"/>
        <v>22.22045</v>
      </c>
      <c r="Q40" s="101">
        <f t="shared" si="20"/>
        <v>101.4818</v>
      </c>
      <c r="R40" s="91">
        <f t="shared" si="20"/>
        <v>101.4818</v>
      </c>
      <c r="S40" s="101">
        <f t="shared" si="20"/>
        <v>101.4818</v>
      </c>
      <c r="T40" s="91">
        <f>-SUM(T39:T39)+T37</f>
        <v>29.381800000000002</v>
      </c>
      <c r="U40" s="91">
        <f t="shared" si="20"/>
        <v>69.6318</v>
      </c>
      <c r="V40" s="101">
        <f t="shared" si="20"/>
        <v>97.2818</v>
      </c>
      <c r="W40" s="91">
        <f t="shared" si="20"/>
        <v>124.93180000000001</v>
      </c>
      <c r="X40" s="194">
        <f>-SUM(X39:X39)+X37</f>
        <v>156.7818</v>
      </c>
      <c r="Y40" s="91">
        <f>-SUM(Y39:Y39)+Y37</f>
        <v>180.23180000000002</v>
      </c>
      <c r="Z40" s="91">
        <f>-SUM(Z39:Z39)+Z37</f>
        <v>203.68179999999995</v>
      </c>
      <c r="AA40" s="91">
        <f>-SUM(AA39:AA39)+AA37</f>
        <v>227.1318</v>
      </c>
    </row>
    <row r="41" spans="3:27" ht="13.5" thickTop="1">
      <c r="C41" s="3"/>
      <c r="D41" s="65"/>
      <c r="E41" s="74"/>
      <c r="F41" s="74"/>
      <c r="G41" s="74"/>
      <c r="H41" s="141"/>
      <c r="I41" s="115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93"/>
      <c r="Y41" s="7"/>
      <c r="Z41" s="7"/>
      <c r="AA41" s="7"/>
    </row>
    <row r="42" spans="1:27" s="68" customFormat="1" ht="12.75">
      <c r="A42" s="18" t="s">
        <v>23</v>
      </c>
      <c r="B42" s="68" t="s">
        <v>45</v>
      </c>
      <c r="C42" s="78"/>
      <c r="D42" s="77"/>
      <c r="E42" s="77"/>
      <c r="F42" s="77"/>
      <c r="G42" s="77"/>
      <c r="H42" s="132"/>
      <c r="I42" s="116">
        <v>0</v>
      </c>
      <c r="J42" s="79">
        <f>+I42+J40</f>
        <v>2.4724874999999997</v>
      </c>
      <c r="K42" s="79">
        <f>+J42+K40</f>
        <v>9.1366625</v>
      </c>
      <c r="L42" s="77">
        <f>+K42+L40</f>
        <v>19.992525</v>
      </c>
      <c r="M42" s="77">
        <f>+L42+M40+M44</f>
        <v>15.675475000000006</v>
      </c>
      <c r="N42" s="77">
        <f aca="true" t="shared" si="21" ref="N42:AA42">+M42+N40+N44</f>
        <v>81.425925</v>
      </c>
      <c r="O42" s="77">
        <f t="shared" si="21"/>
        <v>72.806375</v>
      </c>
      <c r="P42" s="77">
        <f t="shared" si="21"/>
        <v>55.026825</v>
      </c>
      <c r="Q42" s="77">
        <f t="shared" si="21"/>
        <v>6.508624999999995</v>
      </c>
      <c r="R42" s="77">
        <f>+Q42+R40+R44</f>
        <v>107.990425</v>
      </c>
      <c r="S42" s="77">
        <f t="shared" si="21"/>
        <v>209.472225</v>
      </c>
      <c r="T42" s="77">
        <f>+R42+T40+T44</f>
        <v>137.37222500000001</v>
      </c>
      <c r="U42" s="77">
        <f>+S42+U40+U44</f>
        <v>279.104025</v>
      </c>
      <c r="V42" s="77">
        <f t="shared" si="21"/>
        <v>376.38582499999995</v>
      </c>
      <c r="W42" s="77">
        <f t="shared" si="21"/>
        <v>501.31762499999996</v>
      </c>
      <c r="X42" s="195">
        <f t="shared" si="21"/>
        <v>658.099425</v>
      </c>
      <c r="Y42" s="77">
        <f t="shared" si="21"/>
        <v>838.331225</v>
      </c>
      <c r="Z42" s="77">
        <f t="shared" si="21"/>
        <v>1042.013025</v>
      </c>
      <c r="AA42" s="77">
        <f t="shared" si="21"/>
        <v>1269.1448249999999</v>
      </c>
    </row>
    <row r="43" spans="1:27" s="68" customFormat="1" ht="12.75">
      <c r="A43" s="18"/>
      <c r="C43" s="78"/>
      <c r="D43" s="77"/>
      <c r="E43" s="77"/>
      <c r="F43" s="77"/>
      <c r="G43" s="77"/>
      <c r="H43" s="132"/>
      <c r="I43" s="116"/>
      <c r="J43" s="79"/>
      <c r="K43" s="79"/>
      <c r="L43" s="77"/>
      <c r="M43" s="79"/>
      <c r="N43" s="77"/>
      <c r="O43" s="79"/>
      <c r="P43" s="79"/>
      <c r="Q43" s="79"/>
      <c r="R43" s="77"/>
      <c r="S43" s="77"/>
      <c r="T43" s="77"/>
      <c r="U43" s="77"/>
      <c r="V43" s="77"/>
      <c r="W43" s="77"/>
      <c r="X43" s="195"/>
      <c r="Y43" s="77"/>
      <c r="Z43" s="77"/>
      <c r="AA43" s="77"/>
    </row>
    <row r="44" spans="1:27" s="80" customFormat="1" ht="15.75">
      <c r="A44" s="81"/>
      <c r="B44" s="82" t="s">
        <v>34</v>
      </c>
      <c r="C44" s="83"/>
      <c r="D44" s="83">
        <f aca="true" t="shared" si="22" ref="D44:W44">-SUM(D39:D39)</f>
        <v>0</v>
      </c>
      <c r="E44" s="83">
        <f t="shared" si="22"/>
        <v>0</v>
      </c>
      <c r="F44" s="83">
        <f t="shared" si="22"/>
        <v>0</v>
      </c>
      <c r="G44" s="83">
        <f t="shared" si="22"/>
        <v>0</v>
      </c>
      <c r="H44" s="133">
        <f t="shared" si="22"/>
        <v>0</v>
      </c>
      <c r="I44" s="117">
        <f t="shared" si="22"/>
        <v>0</v>
      </c>
      <c r="J44" s="83">
        <f t="shared" si="22"/>
        <v>0</v>
      </c>
      <c r="K44" s="83">
        <f t="shared" si="22"/>
        <v>0</v>
      </c>
      <c r="L44" s="83">
        <v>0</v>
      </c>
      <c r="M44" s="83">
        <v>-17</v>
      </c>
      <c r="N44" s="83">
        <v>-25</v>
      </c>
      <c r="O44" s="83">
        <v>-30</v>
      </c>
      <c r="P44" s="83">
        <v>-40</v>
      </c>
      <c r="Q44" s="83">
        <v>-150</v>
      </c>
      <c r="R44" s="83">
        <f t="shared" si="22"/>
        <v>0</v>
      </c>
      <c r="S44" s="83">
        <f t="shared" si="22"/>
        <v>0</v>
      </c>
      <c r="T44" s="83">
        <f>-SUM(T39:T39)</f>
        <v>0</v>
      </c>
      <c r="U44" s="83">
        <f t="shared" si="22"/>
        <v>0</v>
      </c>
      <c r="V44" s="83">
        <f t="shared" si="22"/>
        <v>0</v>
      </c>
      <c r="W44" s="83">
        <f t="shared" si="22"/>
        <v>0</v>
      </c>
      <c r="X44" s="196">
        <f>-SUM(X39:X39)</f>
        <v>0</v>
      </c>
      <c r="Y44" s="84">
        <f>-SUM(Y39:Y39)</f>
        <v>0</v>
      </c>
      <c r="Z44" s="84">
        <f>-SUM(Z39:Z39)</f>
        <v>0</v>
      </c>
      <c r="AA44" s="84">
        <f>-SUM(AA39:AA39)</f>
        <v>0</v>
      </c>
    </row>
    <row r="45" spans="1:27" s="86" customFormat="1" ht="16.5" thickBot="1">
      <c r="A45" s="85"/>
      <c r="B45" s="82" t="s">
        <v>33</v>
      </c>
      <c r="C45" s="83"/>
      <c r="D45" s="83"/>
      <c r="E45" s="83"/>
      <c r="F45" s="83"/>
      <c r="G45" s="83"/>
      <c r="H45" s="133"/>
      <c r="I45" s="118">
        <f>15.3+30+50+28.5+315+6</f>
        <v>444.8</v>
      </c>
      <c r="J45" s="83">
        <f aca="true" t="shared" si="23" ref="J45:AA45">+I45+J44</f>
        <v>444.8</v>
      </c>
      <c r="K45" s="83">
        <f t="shared" si="23"/>
        <v>444.8</v>
      </c>
      <c r="L45" s="83">
        <f t="shared" si="23"/>
        <v>444.8</v>
      </c>
      <c r="M45" s="83">
        <f t="shared" si="23"/>
        <v>427.8</v>
      </c>
      <c r="N45" s="83">
        <f>+M45+N44-80</f>
        <v>322.8</v>
      </c>
      <c r="O45" s="83">
        <f t="shared" si="23"/>
        <v>292.8</v>
      </c>
      <c r="P45" s="83">
        <f t="shared" si="23"/>
        <v>252.8</v>
      </c>
      <c r="Q45" s="83">
        <f t="shared" si="23"/>
        <v>102.80000000000001</v>
      </c>
      <c r="R45" s="83">
        <f t="shared" si="23"/>
        <v>102.80000000000001</v>
      </c>
      <c r="S45" s="83">
        <f t="shared" si="23"/>
        <v>102.80000000000001</v>
      </c>
      <c r="T45" s="83">
        <f>+R45+T44</f>
        <v>102.80000000000001</v>
      </c>
      <c r="U45" s="83">
        <f>+S45+U44</f>
        <v>102.80000000000001</v>
      </c>
      <c r="V45" s="83">
        <f t="shared" si="23"/>
        <v>102.80000000000001</v>
      </c>
      <c r="W45" s="83">
        <f t="shared" si="23"/>
        <v>102.80000000000001</v>
      </c>
      <c r="X45" s="196">
        <f t="shared" si="23"/>
        <v>102.80000000000001</v>
      </c>
      <c r="Y45" s="84">
        <f t="shared" si="23"/>
        <v>102.80000000000001</v>
      </c>
      <c r="Z45" s="84">
        <f t="shared" si="23"/>
        <v>102.80000000000001</v>
      </c>
      <c r="AA45" s="84">
        <f t="shared" si="23"/>
        <v>102.80000000000001</v>
      </c>
    </row>
    <row r="46" spans="2:24" s="148" customFormat="1" ht="15.75">
      <c r="B46" s="148" t="s">
        <v>43</v>
      </c>
      <c r="D46" s="147"/>
      <c r="H46" s="150"/>
      <c r="I46" s="151">
        <v>1.3</v>
      </c>
      <c r="J46" s="151">
        <f aca="true" t="shared" si="24" ref="J46:P46">(J45-J42)/(J22*4)</f>
        <v>6.1474933115597095</v>
      </c>
      <c r="K46" s="151">
        <f t="shared" si="24"/>
        <v>4.5426551014024295</v>
      </c>
      <c r="L46" s="151">
        <f t="shared" si="24"/>
        <v>3.5442711136140836</v>
      </c>
      <c r="M46" s="151">
        <f t="shared" si="24"/>
        <v>3.3286852839027543</v>
      </c>
      <c r="N46" s="151">
        <f>(N45-N42)/((N22-100)*4)</f>
        <v>1.5343848134257205</v>
      </c>
      <c r="O46" s="151">
        <f t="shared" si="24"/>
        <v>1.3984719661814253</v>
      </c>
      <c r="P46" s="151">
        <f t="shared" si="24"/>
        <v>1.2572193439705042</v>
      </c>
      <c r="Q46" s="151"/>
      <c r="X46" s="197"/>
    </row>
    <row r="47" spans="2:24" ht="15.75">
      <c r="B47" s="97"/>
      <c r="H47" s="3"/>
      <c r="X47" s="179"/>
    </row>
    <row r="48" spans="2:24" ht="41.25" customHeight="1">
      <c r="B48" s="97" t="s">
        <v>88</v>
      </c>
      <c r="N48" s="212" t="s">
        <v>93</v>
      </c>
      <c r="O48" s="212"/>
      <c r="P48" s="212"/>
      <c r="Q48" s="212"/>
      <c r="X48" s="179"/>
    </row>
    <row r="49" spans="2:24" ht="15.75">
      <c r="B49" s="97"/>
      <c r="X49" s="179"/>
    </row>
    <row r="50" ht="12.75">
      <c r="X50" s="179"/>
    </row>
    <row r="51" spans="1:27" s="104" customFormat="1" ht="15.75">
      <c r="A51" s="103"/>
      <c r="B51" s="104" t="s">
        <v>35</v>
      </c>
      <c r="D51" s="86">
        <v>314</v>
      </c>
      <c r="E51" s="86">
        <v>314</v>
      </c>
      <c r="F51" s="86">
        <v>314</v>
      </c>
      <c r="G51" s="86">
        <v>314</v>
      </c>
      <c r="H51" s="86">
        <v>314</v>
      </c>
      <c r="I51" s="86">
        <v>730</v>
      </c>
      <c r="J51" s="86">
        <v>730</v>
      </c>
      <c r="K51" s="86">
        <v>730</v>
      </c>
      <c r="L51" s="86">
        <v>730</v>
      </c>
      <c r="M51" s="86">
        <v>730</v>
      </c>
      <c r="N51" s="86">
        <v>730</v>
      </c>
      <c r="O51" s="86">
        <v>730</v>
      </c>
      <c r="P51" s="86">
        <v>730</v>
      </c>
      <c r="Q51" s="86">
        <v>730</v>
      </c>
      <c r="R51" s="86">
        <v>730</v>
      </c>
      <c r="S51" s="86">
        <v>730</v>
      </c>
      <c r="T51" s="86">
        <v>730</v>
      </c>
      <c r="U51" s="86">
        <v>730</v>
      </c>
      <c r="V51" s="86">
        <v>730</v>
      </c>
      <c r="W51" s="86">
        <v>730</v>
      </c>
      <c r="X51" s="198">
        <v>730</v>
      </c>
      <c r="Y51" s="86">
        <v>730</v>
      </c>
      <c r="Z51" s="86">
        <v>730</v>
      </c>
      <c r="AA51" s="86">
        <v>730</v>
      </c>
    </row>
    <row r="52" spans="1:24" s="104" customFormat="1" ht="15">
      <c r="A52" s="103"/>
      <c r="X52" s="199"/>
    </row>
    <row r="53" spans="1:27" s="106" customFormat="1" ht="15.75">
      <c r="A53" s="105"/>
      <c r="B53" s="86" t="s">
        <v>55</v>
      </c>
      <c r="E53" s="107"/>
      <c r="F53" s="107"/>
      <c r="G53" s="107"/>
      <c r="H53" s="107"/>
      <c r="I53" s="107">
        <v>0.25</v>
      </c>
      <c r="J53" s="107">
        <f>J62/0.08</f>
        <v>0.16934845890410957</v>
      </c>
      <c r="K53" s="107">
        <f aca="true" t="shared" si="25" ref="K53:W53">K62/0.08</f>
        <v>0.4564503424657534</v>
      </c>
      <c r="L53" s="107">
        <f t="shared" si="25"/>
        <v>0.7435522260273973</v>
      </c>
      <c r="M53" s="107">
        <f t="shared" si="25"/>
        <v>0.8686952054794521</v>
      </c>
      <c r="N53" s="107">
        <f t="shared" si="25"/>
        <v>6.215784246575343</v>
      </c>
      <c r="O53" s="107">
        <f t="shared" si="25"/>
        <v>1.4644143835616439</v>
      </c>
      <c r="P53" s="107">
        <f t="shared" si="25"/>
        <v>1.5219486301369862</v>
      </c>
      <c r="Q53" s="107">
        <f t="shared" si="25"/>
        <v>1.7377020547945206</v>
      </c>
      <c r="R53" s="107">
        <f t="shared" si="25"/>
        <v>1.7377020547945206</v>
      </c>
      <c r="S53" s="107">
        <f t="shared" si="25"/>
        <v>1.7377020547945206</v>
      </c>
      <c r="T53" s="107">
        <f>T62/0.08</f>
        <v>0.5031130136986302</v>
      </c>
      <c r="U53" s="107">
        <f t="shared" si="25"/>
        <v>1.1923253424657534</v>
      </c>
      <c r="V53" s="107">
        <f t="shared" si="25"/>
        <v>1.6657842465753425</v>
      </c>
      <c r="W53" s="107">
        <f t="shared" si="25"/>
        <v>2.1392431506849316</v>
      </c>
      <c r="X53" s="200">
        <f>X62/0.08</f>
        <v>2.6846198630136984</v>
      </c>
      <c r="Y53" s="107">
        <f>Y62/0.08</f>
        <v>3.08616095890411</v>
      </c>
      <c r="Z53" s="107">
        <f>Z62/0.08</f>
        <v>3.4877020547945197</v>
      </c>
      <c r="AA53" s="107">
        <f>AA62/0.08</f>
        <v>3.8892431506849316</v>
      </c>
    </row>
    <row r="54" spans="1:24" s="106" customFormat="1" ht="15.75">
      <c r="A54" s="105"/>
      <c r="B54" s="106" t="s">
        <v>44</v>
      </c>
      <c r="E54" s="107"/>
      <c r="F54" s="107"/>
      <c r="G54" s="107"/>
      <c r="H54" s="107"/>
      <c r="I54" s="149"/>
      <c r="X54" s="201"/>
    </row>
    <row r="55" ht="13.5" thickBot="1">
      <c r="X55" s="179"/>
    </row>
    <row r="56" spans="1:27" s="33" customFormat="1" ht="15.75">
      <c r="A56" s="119"/>
      <c r="B56" s="167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202"/>
      <c r="Y56" s="168"/>
      <c r="Z56" s="168"/>
      <c r="AA56" s="169"/>
    </row>
    <row r="57" spans="1:27" s="33" customFormat="1" ht="15.75">
      <c r="A57" s="119"/>
      <c r="B57" s="170" t="s">
        <v>36</v>
      </c>
      <c r="C57" s="120"/>
      <c r="D57" s="120"/>
      <c r="E57" s="120"/>
      <c r="F57" s="120"/>
      <c r="G57" s="120"/>
      <c r="H57" s="121">
        <f aca="true" t="shared" si="26" ref="H57:W57">H22</f>
        <v>0</v>
      </c>
      <c r="I57" s="121">
        <f t="shared" si="26"/>
        <v>0</v>
      </c>
      <c r="J57" s="121">
        <f t="shared" si="26"/>
        <v>17.988125</v>
      </c>
      <c r="K57" s="121">
        <f t="shared" si="26"/>
        <v>23.97625</v>
      </c>
      <c r="L57" s="121">
        <f t="shared" si="26"/>
        <v>29.964375</v>
      </c>
      <c r="M57" s="121">
        <f t="shared" si="26"/>
        <v>30.9525</v>
      </c>
      <c r="N57" s="121">
        <f t="shared" si="26"/>
        <v>139.3275</v>
      </c>
      <c r="O57" s="121">
        <f t="shared" si="26"/>
        <v>39.3275</v>
      </c>
      <c r="P57" s="121">
        <f t="shared" si="26"/>
        <v>39.3275</v>
      </c>
      <c r="Q57" s="121">
        <f t="shared" si="26"/>
        <v>157.31</v>
      </c>
      <c r="R57" s="121">
        <f t="shared" si="26"/>
        <v>157.31</v>
      </c>
      <c r="S57" s="121">
        <f t="shared" si="26"/>
        <v>157.31</v>
      </c>
      <c r="T57" s="121">
        <f>T22</f>
        <v>54.31</v>
      </c>
      <c r="U57" s="121">
        <f t="shared" si="26"/>
        <v>111.81</v>
      </c>
      <c r="V57" s="121">
        <f t="shared" si="26"/>
        <v>151.31</v>
      </c>
      <c r="W57" s="121">
        <f t="shared" si="26"/>
        <v>190.81</v>
      </c>
      <c r="X57" s="203">
        <f>X22</f>
        <v>236.31</v>
      </c>
      <c r="Y57" s="121">
        <f>Y22</f>
        <v>269.81</v>
      </c>
      <c r="Z57" s="121">
        <f>Z22</f>
        <v>303.30999999999995</v>
      </c>
      <c r="AA57" s="171">
        <f>AA22</f>
        <v>336.81</v>
      </c>
    </row>
    <row r="58" spans="1:27" s="33" customFormat="1" ht="15.75">
      <c r="A58" s="119"/>
      <c r="B58" s="170" t="s">
        <v>37</v>
      </c>
      <c r="C58" s="120"/>
      <c r="D58" s="120"/>
      <c r="E58" s="120"/>
      <c r="F58" s="120"/>
      <c r="G58" s="120"/>
      <c r="H58" s="121">
        <f>H37</f>
        <v>0</v>
      </c>
      <c r="I58" s="121">
        <f aca="true" t="shared" si="27" ref="I58:W58">I37</f>
        <v>-49.156000000000006</v>
      </c>
      <c r="J58" s="121">
        <f t="shared" si="27"/>
        <v>2.4724874999999997</v>
      </c>
      <c r="K58" s="121">
        <f t="shared" si="27"/>
        <v>6.664175</v>
      </c>
      <c r="L58" s="121">
        <f t="shared" si="27"/>
        <v>10.8558625</v>
      </c>
      <c r="M58" s="121">
        <f t="shared" si="27"/>
        <v>12.682950000000002</v>
      </c>
      <c r="N58" s="121">
        <f t="shared" si="27"/>
        <v>90.75045</v>
      </c>
      <c r="O58" s="121">
        <f t="shared" si="27"/>
        <v>21.38045</v>
      </c>
      <c r="P58" s="121">
        <f t="shared" si="27"/>
        <v>22.22045</v>
      </c>
      <c r="Q58" s="121">
        <f t="shared" si="27"/>
        <v>101.4818</v>
      </c>
      <c r="R58" s="121">
        <f t="shared" si="27"/>
        <v>101.4818</v>
      </c>
      <c r="S58" s="121">
        <f t="shared" si="27"/>
        <v>101.4818</v>
      </c>
      <c r="T58" s="121">
        <f>T37</f>
        <v>29.381800000000002</v>
      </c>
      <c r="U58" s="121">
        <f t="shared" si="27"/>
        <v>69.6318</v>
      </c>
      <c r="V58" s="121">
        <f t="shared" si="27"/>
        <v>97.2818</v>
      </c>
      <c r="W58" s="121">
        <f t="shared" si="27"/>
        <v>124.93180000000001</v>
      </c>
      <c r="X58" s="203">
        <f>X37</f>
        <v>156.7818</v>
      </c>
      <c r="Y58" s="121">
        <f>Y37</f>
        <v>180.23180000000002</v>
      </c>
      <c r="Z58" s="121">
        <f>Z37</f>
        <v>203.68179999999995</v>
      </c>
      <c r="AA58" s="171">
        <f>AA37</f>
        <v>227.1318</v>
      </c>
    </row>
    <row r="59" spans="1:27" s="33" customFormat="1" ht="15.75">
      <c r="A59" s="119"/>
      <c r="B59" s="17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204"/>
      <c r="Y59" s="120"/>
      <c r="Z59" s="120"/>
      <c r="AA59" s="172"/>
    </row>
    <row r="60" spans="1:27" s="33" customFormat="1" ht="15.75">
      <c r="A60" s="119"/>
      <c r="B60" s="170" t="s">
        <v>38</v>
      </c>
      <c r="C60" s="120"/>
      <c r="D60" s="120"/>
      <c r="E60" s="120"/>
      <c r="F60" s="120"/>
      <c r="G60" s="120"/>
      <c r="H60" s="122">
        <f>+H57/$H$51</f>
        <v>0</v>
      </c>
      <c r="I60" s="122">
        <f aca="true" t="shared" si="28" ref="I60:W60">+I57/$H$51</f>
        <v>0</v>
      </c>
      <c r="J60" s="122">
        <f t="shared" si="28"/>
        <v>0.05728702229299363</v>
      </c>
      <c r="K60" s="122">
        <f t="shared" si="28"/>
        <v>0.07635748407643313</v>
      </c>
      <c r="L60" s="122">
        <f t="shared" si="28"/>
        <v>0.09542794585987262</v>
      </c>
      <c r="M60" s="122">
        <f t="shared" si="28"/>
        <v>0.0985748407643312</v>
      </c>
      <c r="N60" s="122">
        <f t="shared" si="28"/>
        <v>0.443718152866242</v>
      </c>
      <c r="O60" s="122">
        <f t="shared" si="28"/>
        <v>0.1252468152866242</v>
      </c>
      <c r="P60" s="122">
        <f t="shared" si="28"/>
        <v>0.1252468152866242</v>
      </c>
      <c r="Q60" s="122">
        <f t="shared" si="28"/>
        <v>0.5009872611464968</v>
      </c>
      <c r="R60" s="122">
        <f t="shared" si="28"/>
        <v>0.5009872611464968</v>
      </c>
      <c r="S60" s="122">
        <f t="shared" si="28"/>
        <v>0.5009872611464968</v>
      </c>
      <c r="T60" s="122">
        <f>+T57/$H$51</f>
        <v>0.17296178343949045</v>
      </c>
      <c r="U60" s="122">
        <f t="shared" si="28"/>
        <v>0.3560828025477707</v>
      </c>
      <c r="V60" s="122">
        <f t="shared" si="28"/>
        <v>0.48187898089171977</v>
      </c>
      <c r="W60" s="122">
        <f t="shared" si="28"/>
        <v>0.6076751592356688</v>
      </c>
      <c r="X60" s="205">
        <f>+X57/$H$51</f>
        <v>0.7525796178343949</v>
      </c>
      <c r="Y60" s="122">
        <f>+Y57/$H$51</f>
        <v>0.8592675159235669</v>
      </c>
      <c r="Z60" s="122">
        <f>+Z57/$H$51</f>
        <v>0.9659554140127387</v>
      </c>
      <c r="AA60" s="173">
        <f>+AA57/$H$51</f>
        <v>1.0726433121019108</v>
      </c>
    </row>
    <row r="61" spans="1:27" s="33" customFormat="1" ht="15.75">
      <c r="A61" s="119"/>
      <c r="B61" s="170" t="s">
        <v>39</v>
      </c>
      <c r="C61" s="120"/>
      <c r="D61" s="120"/>
      <c r="E61" s="120"/>
      <c r="F61" s="120"/>
      <c r="G61" s="120"/>
      <c r="H61" s="122">
        <f aca="true" t="shared" si="29" ref="H61:P61">+H$58/H$51</f>
        <v>0</v>
      </c>
      <c r="I61" s="122">
        <f t="shared" si="29"/>
        <v>-0.06733698630136987</v>
      </c>
      <c r="J61" s="122">
        <f t="shared" si="29"/>
        <v>0.0033869691780821914</v>
      </c>
      <c r="K61" s="122">
        <f t="shared" si="29"/>
        <v>0.009129006849315068</v>
      </c>
      <c r="L61" s="122">
        <f t="shared" si="29"/>
        <v>0.014871044520547947</v>
      </c>
      <c r="M61" s="122">
        <f t="shared" si="29"/>
        <v>0.017373904109589042</v>
      </c>
      <c r="N61" s="122">
        <f t="shared" si="29"/>
        <v>0.12431568493150685</v>
      </c>
      <c r="O61" s="122">
        <f t="shared" si="29"/>
        <v>0.029288287671232878</v>
      </c>
      <c r="P61" s="122">
        <f t="shared" si="29"/>
        <v>0.030438972602739724</v>
      </c>
      <c r="Q61" s="122"/>
      <c r="R61" s="122"/>
      <c r="S61" s="122"/>
      <c r="T61" s="122"/>
      <c r="U61" s="122"/>
      <c r="V61" s="122"/>
      <c r="W61" s="122"/>
      <c r="X61" s="205"/>
      <c r="Y61" s="122"/>
      <c r="Z61" s="122"/>
      <c r="AA61" s="173"/>
    </row>
    <row r="62" spans="1:27" s="33" customFormat="1" ht="16.5" thickBot="1">
      <c r="A62" s="119"/>
      <c r="B62" s="174" t="s">
        <v>42</v>
      </c>
      <c r="C62" s="175"/>
      <c r="D62" s="175"/>
      <c r="E62" s="175"/>
      <c r="F62" s="175"/>
      <c r="G62" s="175"/>
      <c r="H62" s="176">
        <f>+H61*4</f>
        <v>0</v>
      </c>
      <c r="I62" s="176">
        <f aca="true" t="shared" si="30" ref="I62:P62">+I61*4</f>
        <v>-0.2693479452054795</v>
      </c>
      <c r="J62" s="176">
        <f t="shared" si="30"/>
        <v>0.013547876712328766</v>
      </c>
      <c r="K62" s="176">
        <f t="shared" si="30"/>
        <v>0.03651602739726027</v>
      </c>
      <c r="L62" s="176">
        <f t="shared" si="30"/>
        <v>0.05948417808219179</v>
      </c>
      <c r="M62" s="176">
        <f t="shared" si="30"/>
        <v>0.06949561643835617</v>
      </c>
      <c r="N62" s="176">
        <f t="shared" si="30"/>
        <v>0.4972627397260274</v>
      </c>
      <c r="O62" s="176">
        <f t="shared" si="30"/>
        <v>0.11715315068493151</v>
      </c>
      <c r="P62" s="176">
        <f t="shared" si="30"/>
        <v>0.1217558904109589</v>
      </c>
      <c r="Q62" s="176">
        <f aca="true" t="shared" si="31" ref="Q62:AA62">+Q$58/Q$51</f>
        <v>0.13901616438356165</v>
      </c>
      <c r="R62" s="176">
        <f t="shared" si="31"/>
        <v>0.13901616438356165</v>
      </c>
      <c r="S62" s="176">
        <f t="shared" si="31"/>
        <v>0.13901616438356165</v>
      </c>
      <c r="T62" s="176">
        <f t="shared" si="31"/>
        <v>0.04024904109589041</v>
      </c>
      <c r="U62" s="176">
        <f t="shared" si="31"/>
        <v>0.09538602739726028</v>
      </c>
      <c r="V62" s="176">
        <f t="shared" si="31"/>
        <v>0.1332627397260274</v>
      </c>
      <c r="W62" s="176">
        <f t="shared" si="31"/>
        <v>0.17113945205479453</v>
      </c>
      <c r="X62" s="206">
        <f t="shared" si="31"/>
        <v>0.2147695890410959</v>
      </c>
      <c r="Y62" s="176">
        <f t="shared" si="31"/>
        <v>0.2468928767123288</v>
      </c>
      <c r="Z62" s="176">
        <f t="shared" si="31"/>
        <v>0.2790161643835616</v>
      </c>
      <c r="AA62" s="177">
        <f t="shared" si="31"/>
        <v>0.31113945205479454</v>
      </c>
    </row>
    <row r="63" spans="1:24" s="8" customFormat="1" ht="12.75">
      <c r="A63" s="9"/>
      <c r="X63" s="182"/>
    </row>
    <row r="64" spans="2:24" ht="20.25">
      <c r="B64" s="124" t="s">
        <v>40</v>
      </c>
      <c r="X64" s="179"/>
    </row>
    <row r="65" spans="2:24" ht="20.25">
      <c r="B65" s="123" t="s">
        <v>57</v>
      </c>
      <c r="X65" s="179"/>
    </row>
    <row r="66" spans="2:24" ht="20.25">
      <c r="B66" s="123" t="s">
        <v>58</v>
      </c>
      <c r="X66" s="179"/>
    </row>
    <row r="67" spans="2:24" ht="20.25">
      <c r="B67" s="123" t="s">
        <v>41</v>
      </c>
      <c r="X67" s="179"/>
    </row>
    <row r="68" ht="12.75">
      <c r="X68" s="179"/>
    </row>
    <row r="69" spans="2:24" ht="20.25">
      <c r="B69" s="123" t="s">
        <v>99</v>
      </c>
      <c r="X69" s="179"/>
    </row>
    <row r="70" spans="2:24" ht="12.75">
      <c r="B70" t="s">
        <v>95</v>
      </c>
      <c r="X70" s="179"/>
    </row>
    <row r="71" spans="2:24" ht="12.75">
      <c r="B71" t="s">
        <v>96</v>
      </c>
      <c r="X71" s="179"/>
    </row>
    <row r="72" spans="2:24" ht="13.5" thickBot="1">
      <c r="B72" t="s">
        <v>97</v>
      </c>
      <c r="X72" s="207"/>
    </row>
    <row r="73" ht="13.5" thickTop="1">
      <c r="B73" t="s">
        <v>98</v>
      </c>
    </row>
  </sheetData>
  <sheetProtection/>
  <mergeCells count="2">
    <mergeCell ref="C2:M2"/>
    <mergeCell ref="N48:Q48"/>
  </mergeCells>
  <printOptions/>
  <pageMargins left="0.75" right="0.75" top="1" bottom="1" header="0.5" footer="0.5"/>
  <pageSetup orientation="portrait" paperSize="9" r:id="rId3"/>
  <ignoredErrors>
    <ignoredError sqref="Q3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0.85546875" style="0" customWidth="1"/>
    <col min="2" max="2" width="36.7109375" style="0" customWidth="1"/>
    <col min="3" max="3" width="11.57421875" style="0" customWidth="1"/>
    <col min="4" max="4" width="10.28125" style="0" customWidth="1"/>
    <col min="5" max="5" width="12.57421875" style="0" customWidth="1"/>
    <col min="6" max="6" width="14.28125" style="0" customWidth="1"/>
  </cols>
  <sheetData>
    <row r="1" spans="2:3" ht="12.75">
      <c r="B1" s="154" t="s">
        <v>53</v>
      </c>
      <c r="C1" s="30" t="s">
        <v>52</v>
      </c>
    </row>
    <row r="2" spans="2:3" ht="12.75">
      <c r="B2" s="154" t="s">
        <v>60</v>
      </c>
      <c r="C2" s="30" t="s">
        <v>59</v>
      </c>
    </row>
    <row r="3" spans="2:3" ht="12.75">
      <c r="B3" s="154" t="s">
        <v>61</v>
      </c>
      <c r="C3" s="30" t="s">
        <v>62</v>
      </c>
    </row>
    <row r="4" spans="2:3" ht="12.75">
      <c r="B4" s="154" t="s">
        <v>63</v>
      </c>
      <c r="C4" s="30" t="s">
        <v>64</v>
      </c>
    </row>
    <row r="5" spans="2:3" ht="12.75">
      <c r="B5" s="154" t="s">
        <v>65</v>
      </c>
      <c r="C5" s="30" t="s">
        <v>66</v>
      </c>
    </row>
    <row r="6" ht="13.5" thickBot="1"/>
    <row r="7" spans="2:6" ht="13.5" thickBot="1">
      <c r="B7" s="155" t="s">
        <v>69</v>
      </c>
      <c r="E7" s="213" t="s">
        <v>82</v>
      </c>
      <c r="F7" s="214"/>
    </row>
    <row r="8" spans="2:6" ht="16.5" customHeight="1" thickBot="1">
      <c r="B8" s="157" t="s">
        <v>70</v>
      </c>
      <c r="C8" s="155" t="s">
        <v>71</v>
      </c>
      <c r="D8" s="158" t="s">
        <v>72</v>
      </c>
      <c r="E8" s="155" t="s">
        <v>83</v>
      </c>
      <c r="F8" s="158" t="s">
        <v>72</v>
      </c>
    </row>
    <row r="9" spans="2:15" ht="15" customHeight="1" thickBot="1">
      <c r="B9" s="159" t="s">
        <v>73</v>
      </c>
      <c r="C9" s="156">
        <v>26958333</v>
      </c>
      <c r="D9" s="160">
        <v>0.1742</v>
      </c>
      <c r="E9" s="156">
        <f>C9+30000000/0.5+50000000/0.5</f>
        <v>186958333</v>
      </c>
      <c r="F9" s="160">
        <f>E9/314000000</f>
        <v>0.595408703821656</v>
      </c>
      <c r="G9" s="30" t="s">
        <v>67</v>
      </c>
      <c r="O9" s="154" t="s">
        <v>68</v>
      </c>
    </row>
    <row r="10" spans="2:6" ht="15" customHeight="1" thickBot="1">
      <c r="B10" s="159" t="s">
        <v>74</v>
      </c>
      <c r="C10" s="156">
        <v>17894687</v>
      </c>
      <c r="D10" s="160">
        <v>0.1156</v>
      </c>
      <c r="E10" s="156">
        <f>C10</f>
        <v>17894687</v>
      </c>
      <c r="F10" s="160">
        <f aca="true" t="shared" si="0" ref="F10:F18">E10/314000000</f>
        <v>0.056989449044585985</v>
      </c>
    </row>
    <row r="11" spans="2:11" ht="15" customHeight="1" thickBot="1">
      <c r="B11" s="159" t="s">
        <v>75</v>
      </c>
      <c r="C11" s="156">
        <v>15916969</v>
      </c>
      <c r="D11" s="160">
        <v>0.1029</v>
      </c>
      <c r="E11" s="156">
        <f>21091661</f>
        <v>21091661</v>
      </c>
      <c r="F11" s="160">
        <f t="shared" si="0"/>
        <v>0.0671708949044586</v>
      </c>
      <c r="G11" s="154" t="s">
        <v>84</v>
      </c>
      <c r="K11" s="30" t="s">
        <v>85</v>
      </c>
    </row>
    <row r="12" spans="2:6" ht="15" customHeight="1" thickBot="1">
      <c r="B12" s="159" t="s">
        <v>76</v>
      </c>
      <c r="C12" s="156">
        <v>13949969</v>
      </c>
      <c r="D12" s="160">
        <v>0.0901</v>
      </c>
      <c r="E12" s="156">
        <f aca="true" t="shared" si="1" ref="E12:E18">C12</f>
        <v>13949969</v>
      </c>
      <c r="F12" s="160">
        <f t="shared" si="0"/>
        <v>0.04442665286624204</v>
      </c>
    </row>
    <row r="13" spans="2:6" ht="15" customHeight="1" thickBot="1">
      <c r="B13" s="159" t="s">
        <v>77</v>
      </c>
      <c r="C13" s="156">
        <v>13532669</v>
      </c>
      <c r="D13" s="160">
        <v>0.0874</v>
      </c>
      <c r="E13" s="156">
        <f t="shared" si="1"/>
        <v>13532669</v>
      </c>
      <c r="F13" s="160">
        <f t="shared" si="0"/>
        <v>0.04309767197452229</v>
      </c>
    </row>
    <row r="14" spans="2:6" ht="15" customHeight="1" thickBot="1">
      <c r="B14" s="159" t="s">
        <v>78</v>
      </c>
      <c r="C14" s="156">
        <v>13496214</v>
      </c>
      <c r="D14" s="160">
        <v>0.0872</v>
      </c>
      <c r="E14" s="156">
        <f t="shared" si="1"/>
        <v>13496214</v>
      </c>
      <c r="F14" s="160">
        <f t="shared" si="0"/>
        <v>0.042981573248407644</v>
      </c>
    </row>
    <row r="15" spans="2:6" ht="15" customHeight="1" thickBot="1">
      <c r="B15" s="159" t="s">
        <v>79</v>
      </c>
      <c r="C15" s="156">
        <v>8245005</v>
      </c>
      <c r="D15" s="160">
        <v>0.0533</v>
      </c>
      <c r="E15" s="156">
        <f t="shared" si="1"/>
        <v>8245005</v>
      </c>
      <c r="F15" s="160">
        <f t="shared" si="0"/>
        <v>0.02625797770700637</v>
      </c>
    </row>
    <row r="16" spans="2:6" ht="15" customHeight="1" thickBot="1">
      <c r="B16" s="159" t="s">
        <v>80</v>
      </c>
      <c r="C16" s="156">
        <v>4960000</v>
      </c>
      <c r="D16" s="160">
        <v>0.0321</v>
      </c>
      <c r="E16" s="156">
        <f t="shared" si="1"/>
        <v>4960000</v>
      </c>
      <c r="F16" s="160">
        <f t="shared" si="0"/>
        <v>0.015796178343949044</v>
      </c>
    </row>
    <row r="17" spans="2:6" ht="15" customHeight="1" thickBot="1">
      <c r="B17" s="159" t="s">
        <v>76</v>
      </c>
      <c r="C17" s="156">
        <v>4950492</v>
      </c>
      <c r="D17" s="160">
        <v>0.032</v>
      </c>
      <c r="E17" s="156">
        <f t="shared" si="1"/>
        <v>4950492</v>
      </c>
      <c r="F17" s="160">
        <f t="shared" si="0"/>
        <v>0.015765898089171976</v>
      </c>
    </row>
    <row r="18" spans="2:6" ht="15" customHeight="1" thickBot="1">
      <c r="B18" s="161" t="s">
        <v>81</v>
      </c>
      <c r="C18" s="162">
        <v>2884951</v>
      </c>
      <c r="D18" s="163">
        <v>0.0186</v>
      </c>
      <c r="E18" s="162">
        <f t="shared" si="1"/>
        <v>2884951</v>
      </c>
      <c r="F18" s="163">
        <f t="shared" si="0"/>
        <v>0.00918774203821656</v>
      </c>
    </row>
    <row r="20" spans="2:3" ht="12.75">
      <c r="B20" s="178" t="s">
        <v>101</v>
      </c>
      <c r="C20" s="30" t="s">
        <v>94</v>
      </c>
    </row>
    <row r="21" ht="12.75">
      <c r="C21" s="30" t="s">
        <v>92</v>
      </c>
    </row>
    <row r="22" ht="12.75">
      <c r="C22" s="30" t="s">
        <v>52</v>
      </c>
    </row>
    <row r="23" ht="12.75">
      <c r="C23" s="30" t="s">
        <v>100</v>
      </c>
    </row>
  </sheetData>
  <sheetProtection/>
  <mergeCells count="1">
    <mergeCell ref="E7:F7"/>
  </mergeCells>
  <hyperlinks>
    <hyperlink ref="C1" r:id="rId1" display="http://atlanticltd.com.au/upload/documents/VanadiumInformation/VanadiumMarketOutlook.pdf"/>
    <hyperlink ref="C2" r:id="rId2" display="http://atlanticltd.com.au/upload/documents/InvestorRelations/asx/130528StandardandPoorsRatingReview.pdf"/>
    <hyperlink ref="C3" r:id="rId3" display="http://atlanticltd.com.au/upload/documents/InvestorRelations/asx/130712NewShortTermFundingFacility.pdf"/>
    <hyperlink ref="C4" r:id="rId4" display="http://www.largoresources.com/files/LGO Corporate Presentation - June 2013.pdf"/>
    <hyperlink ref="C5" r:id="rId5" display="http://www.prnewswire.com/news-releases/vanadium-global-industry-markets-and-outlook-13th-edition-197802181.html"/>
    <hyperlink ref="G9" r:id="rId6" display="http://www.forbes.com/lists/2011/80/indonesia-billionaires-11_Anthoni-Salim_QIPR.html"/>
    <hyperlink ref="K11" r:id="rId7" display="http://atlanticltd.com.au/upload/documents/InvestorRelations/annual/121030AnnualReporttoShareholders.pdf"/>
    <hyperlink ref="C22" r:id="rId8" display="http://atlanticltd.com.au/upload/documents/VanadiumInformation/VanadiumMarketOutlook.pdf"/>
    <hyperlink ref="C21" r:id="rId9" display="http://www.stockhouse.com/companies/bullboard/v.lgo/largo-resources-ltd?postid=21363406"/>
    <hyperlink ref="C20" r:id="rId10" display="http://www.motivmetals.com/Documents/Vanadium - Terry Perles TTP Squared Inc  Text and Slides.pdf"/>
    <hyperlink ref="C23" r:id="rId11" display="http://www.largoresources.com/metals/vanadium/default.asp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Brian Hartsteinad</cp:lastModifiedBy>
  <cp:lastPrinted>2012-05-23T23:35:49Z</cp:lastPrinted>
  <dcterms:created xsi:type="dcterms:W3CDTF">2011-12-06T13:40:04Z</dcterms:created>
  <dcterms:modified xsi:type="dcterms:W3CDTF">2013-08-15T14:28:32Z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